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새 폴더\참좋은기억학교) 21년 결산추경 및  22년 최초예산 사업계획서\"/>
    </mc:Choice>
  </mc:AlternateContent>
  <xr:revisionPtr revIDLastSave="0" documentId="13_ncr:1_{DD428A27-EF15-4E8A-8907-99A86C7B48C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표지" sheetId="5" r:id="rId1"/>
    <sheet name="예산총칙" sheetId="1" r:id="rId2"/>
    <sheet name="최초예산총괄" sheetId="2" r:id="rId3"/>
    <sheet name="최초예산내역-세입" sheetId="8" r:id="rId4"/>
    <sheet name="최초예산내역-세출" sheetId="7" r:id="rId5"/>
    <sheet name="최초예산 증감사항" sheetId="6" r:id="rId6"/>
  </sheets>
  <externalReferences>
    <externalReference r:id="rId7"/>
    <externalReference r:id="rId8"/>
  </externalReferences>
  <definedNames>
    <definedName name="_xlnm.Print_Area" localSheetId="5">'최초예산 증감사항'!$A$1:$E$71</definedName>
    <definedName name="_xlnm.Print_Area" localSheetId="3">'최초예산내역-세입'!$A$1:$I$35</definedName>
    <definedName name="_xlnm.Print_Area" localSheetId="4">'최초예산내역-세출'!$A$1:$I$144</definedName>
    <definedName name="_xlnm.Print_Area" localSheetId="2">최초예산총괄!$A$1:$E$25</definedName>
    <definedName name="_xlnm.Print_Area" localSheetId="0">표지!$A$1:$A$12</definedName>
    <definedName name="_xlnm.Print_Titles" localSheetId="5">'최초예산 증감사항'!$17:$18</definedName>
    <definedName name="_xlnm.Print_Titles" localSheetId="3">'최초예산내역-세입'!$3:$5</definedName>
    <definedName name="_xlnm.Print_Titles" localSheetId="4">'최초예산내역-세출'!$3:$5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6" l="1"/>
  <c r="I142" i="7"/>
  <c r="I122" i="7"/>
  <c r="I91" i="7"/>
  <c r="I44" i="7"/>
  <c r="I43" i="7"/>
  <c r="I42" i="7"/>
  <c r="I41" i="7"/>
  <c r="I40" i="7"/>
  <c r="I74" i="7" l="1"/>
  <c r="E45" i="7"/>
  <c r="E52" i="7"/>
  <c r="E50" i="7"/>
  <c r="I86" i="7"/>
  <c r="E97" i="7"/>
  <c r="E81" i="7"/>
  <c r="E9" i="8" l="1"/>
  <c r="I58" i="7"/>
  <c r="I59" i="7"/>
  <c r="E36" i="6" l="1"/>
  <c r="C24" i="2"/>
  <c r="C23" i="2"/>
  <c r="C22" i="2"/>
  <c r="C21" i="2"/>
  <c r="C20" i="2"/>
  <c r="C19" i="2"/>
  <c r="C18" i="2"/>
  <c r="C17" i="2"/>
  <c r="D10" i="2"/>
  <c r="D7" i="2"/>
  <c r="C11" i="2"/>
  <c r="C7" i="2"/>
  <c r="C6" i="2"/>
  <c r="I35" i="8"/>
  <c r="I138" i="7"/>
  <c r="I56" i="7"/>
  <c r="I123" i="7"/>
  <c r="I117" i="7"/>
  <c r="I115" i="7"/>
  <c r="I114" i="7"/>
  <c r="I112" i="7"/>
  <c r="I107" i="7"/>
  <c r="I108" i="7"/>
  <c r="I106" i="7"/>
  <c r="I102" i="7"/>
  <c r="I103" i="7"/>
  <c r="I101" i="7"/>
  <c r="I109" i="7"/>
  <c r="I105" i="7"/>
  <c r="I98" i="7"/>
  <c r="I104" i="7"/>
  <c r="I131" i="7"/>
  <c r="I84" i="7"/>
  <c r="I83" i="7"/>
  <c r="I70" i="7"/>
  <c r="I69" i="7"/>
  <c r="I68" i="7"/>
  <c r="D126" i="7" l="1"/>
  <c r="I28" i="8"/>
  <c r="I10" i="8"/>
  <c r="I31" i="8"/>
  <c r="I16" i="8"/>
  <c r="I32" i="7"/>
  <c r="I38" i="7"/>
  <c r="I48" i="7"/>
  <c r="I47" i="7"/>
  <c r="I46" i="7"/>
  <c r="I36" i="7"/>
  <c r="I34" i="7"/>
  <c r="I30" i="7"/>
  <c r="I28" i="7"/>
  <c r="I19" i="7"/>
  <c r="I18" i="7"/>
  <c r="I11" i="7"/>
  <c r="I23" i="7"/>
  <c r="I17" i="7"/>
  <c r="I14" i="7"/>
  <c r="I13" i="7"/>
  <c r="I12" i="7"/>
  <c r="I22" i="7"/>
  <c r="I24" i="7"/>
  <c r="I25" i="7"/>
  <c r="I21" i="7"/>
  <c r="I20" i="7"/>
  <c r="I16" i="7"/>
  <c r="I15" i="7"/>
  <c r="I10" i="7"/>
  <c r="E26" i="7" l="1"/>
  <c r="G34" i="8"/>
  <c r="F34" i="8"/>
  <c r="E33" i="8"/>
  <c r="D33" i="8"/>
  <c r="D32" i="8"/>
  <c r="I30" i="8"/>
  <c r="E27" i="8"/>
  <c r="D26" i="8"/>
  <c r="F24" i="8"/>
  <c r="F23" i="8"/>
  <c r="F22" i="8"/>
  <c r="F21" i="8"/>
  <c r="F20" i="8"/>
  <c r="F19" i="8"/>
  <c r="F18" i="8"/>
  <c r="I17" i="8"/>
  <c r="F14" i="8"/>
  <c r="F13" i="8"/>
  <c r="D12" i="8"/>
  <c r="D11" i="8" s="1"/>
  <c r="D8" i="8"/>
  <c r="D7" i="8" s="1"/>
  <c r="I144" i="7"/>
  <c r="E143" i="7" s="1"/>
  <c r="E141" i="7"/>
  <c r="D140" i="7"/>
  <c r="D139" i="7" s="1"/>
  <c r="E137" i="7"/>
  <c r="I136" i="7"/>
  <c r="I135" i="7"/>
  <c r="I133" i="7"/>
  <c r="I132" i="7"/>
  <c r="I130" i="7"/>
  <c r="I128" i="7"/>
  <c r="E127" i="7" s="1"/>
  <c r="I125" i="7"/>
  <c r="E124" i="7" s="1"/>
  <c r="I121" i="7"/>
  <c r="I120" i="7"/>
  <c r="I119" i="7"/>
  <c r="I118" i="7"/>
  <c r="E111" i="7"/>
  <c r="I110" i="7"/>
  <c r="I100" i="7"/>
  <c r="I99" i="7"/>
  <c r="I96" i="7"/>
  <c r="E95" i="7" s="1"/>
  <c r="D94" i="7"/>
  <c r="I93" i="7"/>
  <c r="E92" i="7" s="1"/>
  <c r="E90" i="7"/>
  <c r="D89" i="7"/>
  <c r="I87" i="7"/>
  <c r="I82" i="7"/>
  <c r="D80" i="7"/>
  <c r="D79" i="7" s="1"/>
  <c r="I78" i="7"/>
  <c r="I77" i="7"/>
  <c r="I76" i="7"/>
  <c r="I73" i="7"/>
  <c r="I71" i="7"/>
  <c r="I67" i="7"/>
  <c r="I65" i="7"/>
  <c r="I64" i="7"/>
  <c r="I62" i="7"/>
  <c r="I61" i="7"/>
  <c r="I60" i="7"/>
  <c r="E55" i="7"/>
  <c r="D54" i="7"/>
  <c r="I53" i="7"/>
  <c r="I51" i="7"/>
  <c r="D49" i="7"/>
  <c r="G45" i="7"/>
  <c r="E37" i="7"/>
  <c r="K11" i="7"/>
  <c r="D8" i="7"/>
  <c r="D25" i="8" l="1"/>
  <c r="C10" i="2"/>
  <c r="E89" i="7"/>
  <c r="D21" i="2" s="1"/>
  <c r="D88" i="7"/>
  <c r="F81" i="7"/>
  <c r="G97" i="7"/>
  <c r="E85" i="7"/>
  <c r="G85" i="7" s="1"/>
  <c r="E113" i="7"/>
  <c r="F113" i="7" s="1"/>
  <c r="G37" i="7"/>
  <c r="F37" i="7"/>
  <c r="F111" i="7"/>
  <c r="G111" i="7"/>
  <c r="E57" i="7"/>
  <c r="F57" i="7" s="1"/>
  <c r="E15" i="8"/>
  <c r="E12" i="8" s="1"/>
  <c r="E63" i="7"/>
  <c r="F63" i="7" s="1"/>
  <c r="G33" i="8"/>
  <c r="G26" i="7"/>
  <c r="E116" i="7"/>
  <c r="F116" i="7" s="1"/>
  <c r="D6" i="8"/>
  <c r="E39" i="7"/>
  <c r="F45" i="7"/>
  <c r="D7" i="7"/>
  <c r="E66" i="7"/>
  <c r="F66" i="7" s="1"/>
  <c r="E75" i="7"/>
  <c r="I9" i="7"/>
  <c r="E9" i="7" s="1"/>
  <c r="F9" i="7" s="1"/>
  <c r="E72" i="7"/>
  <c r="G72" i="7" s="1"/>
  <c r="E129" i="7"/>
  <c r="E134" i="7"/>
  <c r="F134" i="7" s="1"/>
  <c r="E32" i="8"/>
  <c r="G32" i="8" s="1"/>
  <c r="E29" i="8"/>
  <c r="E26" i="8" s="1"/>
  <c r="D11" i="2"/>
  <c r="F27" i="8"/>
  <c r="G27" i="8"/>
  <c r="G9" i="8"/>
  <c r="F9" i="8"/>
  <c r="E8" i="8"/>
  <c r="D6" i="2" s="1"/>
  <c r="F33" i="8"/>
  <c r="F52" i="7"/>
  <c r="G52" i="7"/>
  <c r="F92" i="7"/>
  <c r="G92" i="7"/>
  <c r="F127" i="7"/>
  <c r="G127" i="7"/>
  <c r="G134" i="7"/>
  <c r="G141" i="7"/>
  <c r="F141" i="7"/>
  <c r="E140" i="7"/>
  <c r="F50" i="7"/>
  <c r="E49" i="7"/>
  <c r="D18" i="2" s="1"/>
  <c r="G50" i="7"/>
  <c r="F95" i="7"/>
  <c r="G95" i="7"/>
  <c r="F124" i="7"/>
  <c r="G124" i="7"/>
  <c r="G137" i="7"/>
  <c r="F137" i="7"/>
  <c r="G143" i="7"/>
  <c r="F143" i="7"/>
  <c r="F55" i="7"/>
  <c r="G55" i="7"/>
  <c r="F90" i="7"/>
  <c r="F89" i="7" s="1"/>
  <c r="G90" i="7"/>
  <c r="G39" i="7" l="1"/>
  <c r="E126" i="7"/>
  <c r="F97" i="7"/>
  <c r="E94" i="7"/>
  <c r="D22" i="2" s="1"/>
  <c r="G81" i="7"/>
  <c r="E80" i="7"/>
  <c r="E79" i="7" s="1"/>
  <c r="D20" i="2" s="1"/>
  <c r="G57" i="7"/>
  <c r="F85" i="7"/>
  <c r="G63" i="7"/>
  <c r="D6" i="7"/>
  <c r="G29" i="8"/>
  <c r="F26" i="7"/>
  <c r="G113" i="7"/>
  <c r="E8" i="7"/>
  <c r="D17" i="2" s="1"/>
  <c r="F72" i="7"/>
  <c r="F29" i="8"/>
  <c r="F15" i="8"/>
  <c r="G15" i="8"/>
  <c r="G116" i="7"/>
  <c r="F39" i="7"/>
  <c r="G9" i="7"/>
  <c r="F32" i="8"/>
  <c r="D23" i="2"/>
  <c r="G66" i="7"/>
  <c r="E54" i="7"/>
  <c r="G129" i="7"/>
  <c r="F129" i="7"/>
  <c r="F75" i="7"/>
  <c r="G75" i="7"/>
  <c r="F8" i="8"/>
  <c r="G8" i="8"/>
  <c r="E7" i="8"/>
  <c r="E11" i="8"/>
  <c r="F12" i="8"/>
  <c r="G12" i="8"/>
  <c r="E25" i="8"/>
  <c r="G26" i="8"/>
  <c r="F26" i="8"/>
  <c r="G49" i="7"/>
  <c r="F49" i="7"/>
  <c r="F140" i="7"/>
  <c r="G140" i="7"/>
  <c r="E139" i="7"/>
  <c r="D24" i="2" s="1"/>
  <c r="F80" i="7"/>
  <c r="G89" i="7"/>
  <c r="E88" i="7" l="1"/>
  <c r="G88" i="7" s="1"/>
  <c r="F94" i="7"/>
  <c r="G94" i="7"/>
  <c r="G80" i="7"/>
  <c r="G126" i="7"/>
  <c r="F126" i="7"/>
  <c r="G8" i="7"/>
  <c r="F8" i="7"/>
  <c r="F54" i="7"/>
  <c r="D19" i="2"/>
  <c r="E7" i="7"/>
  <c r="G7" i="7" s="1"/>
  <c r="G54" i="7"/>
  <c r="F7" i="8"/>
  <c r="G7" i="8"/>
  <c r="E6" i="8"/>
  <c r="F25" i="8"/>
  <c r="G25" i="8"/>
  <c r="F11" i="8"/>
  <c r="G11" i="8"/>
  <c r="G79" i="7"/>
  <c r="F79" i="7"/>
  <c r="F139" i="7"/>
  <c r="G139" i="7"/>
  <c r="F88" i="7" l="1"/>
  <c r="F7" i="7"/>
  <c r="E6" i="7"/>
  <c r="J5" i="7" s="1"/>
  <c r="F6" i="8"/>
  <c r="G6" i="8"/>
  <c r="F6" i="7" l="1"/>
  <c r="G6" i="7"/>
  <c r="E70" i="6"/>
  <c r="E66" i="6"/>
  <c r="E64" i="6"/>
  <c r="E62" i="6"/>
  <c r="E56" i="6"/>
  <c r="E52" i="6"/>
  <c r="E48" i="6"/>
  <c r="E32" i="6"/>
  <c r="E12" i="6"/>
  <c r="E60" i="6" l="1"/>
  <c r="E44" i="6"/>
  <c r="E10" i="6"/>
  <c r="E8" i="6"/>
  <c r="E34" i="6" l="1"/>
  <c r="E28" i="6"/>
  <c r="E42" i="6" l="1"/>
  <c r="E58" i="6"/>
  <c r="E68" i="6" l="1"/>
  <c r="E50" i="6" l="1"/>
  <c r="E14" i="6"/>
  <c r="E38" i="6" l="1"/>
  <c r="B40" i="6" l="1"/>
  <c r="B26" i="6"/>
  <c r="B24" i="6"/>
  <c r="B22" i="6"/>
  <c r="B20" i="6"/>
  <c r="A20" i="6"/>
  <c r="C5" i="6"/>
  <c r="E6" i="6"/>
  <c r="B6" i="6"/>
  <c r="A6" i="6"/>
  <c r="E22" i="6" l="1"/>
  <c r="E46" i="6"/>
  <c r="E40" i="6"/>
  <c r="E26" i="6"/>
  <c r="E24" i="6"/>
  <c r="C19" i="6"/>
  <c r="E20" i="6"/>
  <c r="E30" i="6"/>
  <c r="D5" i="6"/>
  <c r="E5" i="6" s="1"/>
  <c r="D19" i="6"/>
  <c r="E19" i="6" l="1"/>
  <c r="E22" i="2"/>
  <c r="E20" i="2"/>
  <c r="E23" i="2" l="1"/>
  <c r="E19" i="2" l="1"/>
  <c r="E21" i="2"/>
  <c r="D5" i="2" l="1"/>
  <c r="C16" i="2"/>
  <c r="C5" i="2" l="1"/>
  <c r="E24" i="2"/>
  <c r="E18" i="2"/>
  <c r="E17" i="2"/>
  <c r="D16" i="2"/>
  <c r="E16" i="2" s="1"/>
  <c r="E11" i="2"/>
  <c r="E10" i="2"/>
  <c r="E9" i="2"/>
  <c r="E8" i="2"/>
  <c r="E7" i="2"/>
  <c r="E6" i="2"/>
  <c r="E5" i="2" l="1"/>
</calcChain>
</file>

<file path=xl/sharedStrings.xml><?xml version="1.0" encoding="utf-8"?>
<sst xmlns="http://schemas.openxmlformats.org/spreadsheetml/2006/main" count="397" uniqueCount="294">
  <si>
    <t>사회복지법인 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</si>
  <si>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</si>
  <si>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</si>
  <si>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</si>
  <si>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</si>
  <si>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</si>
  <si>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</si>
  <si>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</si>
  <si>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</si>
  <si>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</si>
  <si>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계</t>
    <phoneticPr fontId="2" type="noConversion"/>
  </si>
  <si>
    <t xml:space="preserve"> 예  산  총  칙</t>
    <phoneticPr fontId="2" type="noConversion"/>
  </si>
  <si>
    <t>3. 본 예산은 사회복지법인 재무회계규칙 제 2장 예산과결산에 의거 편성하며 집행한다.</t>
    <phoneticPr fontId="2" type="noConversion"/>
  </si>
  <si>
    <t xml:space="preserve">                (단위: 원)</t>
    <phoneticPr fontId="2" type="noConversion"/>
  </si>
  <si>
    <t>과목</t>
    <phoneticPr fontId="2" type="noConversion"/>
  </si>
  <si>
    <t>산출근거</t>
    <phoneticPr fontId="2" type="noConversion"/>
  </si>
  <si>
    <t xml:space="preserve">관 </t>
    <phoneticPr fontId="2" type="noConversion"/>
  </si>
  <si>
    <t xml:space="preserve">항 </t>
    <phoneticPr fontId="2" type="noConversion"/>
  </si>
  <si>
    <t>목</t>
    <phoneticPr fontId="2" type="noConversion"/>
  </si>
  <si>
    <t>액수</t>
    <phoneticPr fontId="2" type="noConversion"/>
  </si>
  <si>
    <t>%</t>
    <phoneticPr fontId="2" type="noConversion"/>
  </si>
  <si>
    <t>총계</t>
    <phoneticPr fontId="2" type="noConversion"/>
  </si>
  <si>
    <t xml:space="preserve">이월금 </t>
    <phoneticPr fontId="2" type="noConversion"/>
  </si>
  <si>
    <t xml:space="preserve">전년도이월금 </t>
    <phoneticPr fontId="2" type="noConversion"/>
  </si>
  <si>
    <t>전년도 이월금</t>
    <phoneticPr fontId="2" type="noConversion"/>
  </si>
  <si>
    <t>잡수입</t>
    <phoneticPr fontId="2" type="noConversion"/>
  </si>
  <si>
    <t>사무비</t>
    <phoneticPr fontId="2" type="noConversion"/>
  </si>
  <si>
    <t>인건비</t>
    <phoneticPr fontId="2" type="noConversion"/>
  </si>
  <si>
    <t>재산조성비</t>
    <phoneticPr fontId="2" type="noConversion"/>
  </si>
  <si>
    <t>시설비</t>
    <phoneticPr fontId="2" type="noConversion"/>
  </si>
  <si>
    <t>자산취득비</t>
    <phoneticPr fontId="2" type="noConversion"/>
  </si>
  <si>
    <t>입소자부담금수입</t>
    <phoneticPr fontId="2" type="noConversion"/>
  </si>
  <si>
    <t>입소비용수입</t>
    <phoneticPr fontId="2" type="noConversion"/>
  </si>
  <si>
    <t>보조금수입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</si>
  <si>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</si>
  <si>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</si>
  <si>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</si>
  <si>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기타잡수입</t>
    <phoneticPr fontId="2" type="noConversion"/>
  </si>
  <si>
    <t>전입금</t>
    <phoneticPr fontId="2" type="noConversion"/>
  </si>
  <si>
    <t>법인전입금</t>
    <phoneticPr fontId="2" type="noConversion"/>
  </si>
  <si>
    <t>경상보조금수입</t>
    <phoneticPr fontId="2" type="noConversion"/>
  </si>
  <si>
    <t>이월금</t>
    <phoneticPr fontId="2" type="noConversion"/>
  </si>
  <si>
    <t>급여</t>
    <phoneticPr fontId="2" type="noConversion"/>
  </si>
  <si>
    <t>급여(기본급)</t>
    <phoneticPr fontId="2" type="noConversion"/>
  </si>
  <si>
    <t>제수당</t>
    <phoneticPr fontId="2" type="noConversion"/>
  </si>
  <si>
    <t>사회보험부담금</t>
    <phoneticPr fontId="2" type="noConversion"/>
  </si>
  <si>
    <t>사회보험부담비용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</si>
  <si>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</si>
  <si>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</si>
  <si>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</si>
  <si>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</si>
  <si>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</si>
  <si>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</si>
  <si>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</si>
  <si>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</si>
  <si>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</si>
  <si>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</si>
  <si>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</si>
  <si>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사업비</t>
    <phoneticPr fontId="2" type="noConversion"/>
  </si>
  <si>
    <t>생계비</t>
    <phoneticPr fontId="2" type="noConversion"/>
  </si>
  <si>
    <t>수용기관경비</t>
    <phoneticPr fontId="2" type="noConversion"/>
  </si>
  <si>
    <t>기능회복훈련사업비</t>
    <phoneticPr fontId="2" type="noConversion"/>
  </si>
  <si>
    <t>간호 및 처치사업비</t>
    <phoneticPr fontId="2" type="noConversion"/>
  </si>
  <si>
    <t>일반사업비</t>
    <phoneticPr fontId="2" type="noConversion"/>
  </si>
  <si>
    <t>홍보출판사업비</t>
    <phoneticPr fontId="2" type="noConversion"/>
  </si>
  <si>
    <t>직원연수교육비</t>
    <phoneticPr fontId="2" type="noConversion"/>
  </si>
  <si>
    <t>홍보출판비</t>
    <phoneticPr fontId="2" type="noConversion"/>
  </si>
  <si>
    <t>직원연수 및 교육비</t>
    <phoneticPr fontId="2" type="noConversion"/>
  </si>
  <si>
    <t>자원봉사자 및 후원자 관리비</t>
    <phoneticPr fontId="2" type="noConversion"/>
  </si>
  <si>
    <t>기타사업비</t>
    <phoneticPr fontId="2" type="noConversion"/>
  </si>
  <si>
    <t>예비비 및 기타</t>
    <phoneticPr fontId="2" type="noConversion"/>
  </si>
  <si>
    <t>예비비</t>
    <phoneticPr fontId="2" type="noConversion"/>
  </si>
  <si>
    <t>퇴직금 및 퇴직적립금</t>
    <phoneticPr fontId="2" type="noConversion"/>
  </si>
  <si>
    <t>*방범서비스료: 77,000원 x 12회</t>
    <phoneticPr fontId="2" type="noConversion"/>
  </si>
  <si>
    <t>*간호조무사 보수교육: 35,000 x 1명</t>
    <phoneticPr fontId="2" type="noConversion"/>
  </si>
  <si>
    <t>봉사자 및 후원자 관리비</t>
    <phoneticPr fontId="2" type="noConversion"/>
  </si>
  <si>
    <t>참좋은기억학교</t>
    <phoneticPr fontId="2" type="noConversion"/>
  </si>
  <si>
    <t>입소자부담금수입</t>
    <phoneticPr fontId="2" type="noConversion"/>
  </si>
  <si>
    <t>입소비용수입</t>
    <phoneticPr fontId="2" type="noConversion"/>
  </si>
  <si>
    <t>보 조 금 수 입</t>
    <phoneticPr fontId="2" type="noConversion"/>
  </si>
  <si>
    <t>보 조 금 수 입</t>
    <phoneticPr fontId="2" type="noConversion"/>
  </si>
  <si>
    <t>후 원 금 수 입</t>
    <phoneticPr fontId="2" type="noConversion"/>
  </si>
  <si>
    <t>후 원 금 수 입</t>
    <phoneticPr fontId="2" type="noConversion"/>
  </si>
  <si>
    <t>전     입     금</t>
    <phoneticPr fontId="2" type="noConversion"/>
  </si>
  <si>
    <t>잡     수     입</t>
    <phoneticPr fontId="2" type="noConversion"/>
  </si>
  <si>
    <t>이     월     금</t>
    <phoneticPr fontId="2" type="noConversion"/>
  </si>
  <si>
    <t>(단위 : 원)</t>
    <phoneticPr fontId="2" type="noConversion"/>
  </si>
  <si>
    <t>사     무     비</t>
    <phoneticPr fontId="8" type="noConversion"/>
  </si>
  <si>
    <t>인     건     비</t>
    <phoneticPr fontId="8" type="noConversion"/>
  </si>
  <si>
    <t>운     영     비</t>
    <phoneticPr fontId="2" type="noConversion"/>
  </si>
  <si>
    <t>업 무 추 진 비</t>
    <phoneticPr fontId="2" type="noConversion"/>
  </si>
  <si>
    <t>재 산 조 성 비</t>
    <phoneticPr fontId="2" type="noConversion"/>
  </si>
  <si>
    <t>시     설     비</t>
    <phoneticPr fontId="2" type="noConversion"/>
  </si>
  <si>
    <t>사     업     비</t>
    <phoneticPr fontId="2" type="noConversion"/>
  </si>
  <si>
    <t>예비비 및 기타</t>
    <phoneticPr fontId="2" type="noConversion"/>
  </si>
  <si>
    <t>일 반 사 업 비</t>
    <phoneticPr fontId="2" type="noConversion"/>
  </si>
  <si>
    <t>증감(B-A)</t>
    <phoneticPr fontId="2" type="noConversion"/>
  </si>
  <si>
    <t>기타예금이자수입</t>
    <phoneticPr fontId="2" type="noConversion"/>
  </si>
  <si>
    <t>6. 보편적으로 발생하는 지출에 있어서는 세출예산에도 불구하고 초과 집행하고 차기 이사회에서</t>
    <phoneticPr fontId="2" type="noConversion"/>
  </si>
  <si>
    <t xml:space="preserve">    있다.</t>
    <phoneticPr fontId="2" type="noConversion"/>
  </si>
  <si>
    <t>공공요금</t>
    <phoneticPr fontId="2" type="noConversion"/>
  </si>
  <si>
    <t>시설장비유지비</t>
    <phoneticPr fontId="2" type="noConversion"/>
  </si>
  <si>
    <t>운영비</t>
    <phoneticPr fontId="2" type="noConversion"/>
  </si>
  <si>
    <t>4. 사업수입(본인부담금), 국시비보조금, 후원금 등의 세입이 감소할 경우 기존사업을 축소할 수 있다.</t>
    <phoneticPr fontId="2" type="noConversion"/>
  </si>
  <si>
    <t xml:space="preserve">   추가경정 예산을 승인 받을 수 있다.</t>
    <phoneticPr fontId="2" type="noConversion"/>
  </si>
  <si>
    <t>재활프로그램사업비</t>
    <phoneticPr fontId="2" type="noConversion"/>
  </si>
  <si>
    <t>일상생활지원사업비</t>
    <phoneticPr fontId="2" type="noConversion"/>
  </si>
  <si>
    <t>특별사업지원사업비</t>
    <phoneticPr fontId="2" type="noConversion"/>
  </si>
  <si>
    <t>간호및처치사업비</t>
    <phoneticPr fontId="2" type="noConversion"/>
  </si>
  <si>
    <t>상담사업비</t>
    <phoneticPr fontId="2" type="noConversion"/>
  </si>
  <si>
    <t>*회의비(직원회의, 운영위원회 등): 100,000원 x 4분기</t>
    <phoneticPr fontId="2" type="noConversion"/>
  </si>
  <si>
    <t>예비비 및 기타</t>
    <phoneticPr fontId="2" type="noConversion"/>
  </si>
  <si>
    <t>예비비</t>
    <phoneticPr fontId="2" type="noConversion"/>
  </si>
  <si>
    <t xml:space="preserve">5. 사업수입(본인부담금),국시비보조금, 후원금등의 세입이 증가 할 경우 세입세출예산을 초과할  </t>
    <phoneticPr fontId="2" type="noConversion"/>
  </si>
  <si>
    <t xml:space="preserve">   수 있다.</t>
    <phoneticPr fontId="2" type="noConversion"/>
  </si>
  <si>
    <t>7. 세출예산에서 초과지출이 발생할 경우에 동일관 내의 목간전용으로 부족한 예산을 집행할 수가</t>
    <phoneticPr fontId="2" type="noConversion"/>
  </si>
  <si>
    <t>*기관운영비: 150,000원 x 4분기</t>
    <phoneticPr fontId="2" type="noConversion"/>
  </si>
  <si>
    <t>*신원보증보험: 50,000원 x 2명</t>
    <phoneticPr fontId="2" type="noConversion"/>
  </si>
  <si>
    <t>*어버이날행사: 6,000원 x 40명 x 1회</t>
    <phoneticPr fontId="2" type="noConversion"/>
  </si>
  <si>
    <t>*명절선물 및 포상 등: 200,000원 x 2회</t>
    <phoneticPr fontId="2" type="noConversion"/>
  </si>
  <si>
    <t>*나들이행사(봄/가을): 400,000원 x 2회</t>
    <phoneticPr fontId="2" type="noConversion"/>
  </si>
  <si>
    <t>기타운영비</t>
    <phoneticPr fontId="2" type="noConversion"/>
  </si>
  <si>
    <t>*직원상용피복비: 20,000원 x 9명</t>
    <phoneticPr fontId="2" type="noConversion"/>
  </si>
  <si>
    <t>*간호처치 및 관리: 150,000원 x 4회</t>
    <phoneticPr fontId="2" type="noConversion"/>
  </si>
  <si>
    <t>*기타운영비: 50,000원 x 2회</t>
    <phoneticPr fontId="2" type="noConversion"/>
  </si>
  <si>
    <t>*자원봉사자 관리비: 200,000원 x 2회</t>
    <phoneticPr fontId="2" type="noConversion"/>
  </si>
  <si>
    <t>기타후생경비</t>
    <phoneticPr fontId="2" type="noConversion"/>
  </si>
  <si>
    <t>사업비</t>
    <phoneticPr fontId="2" type="noConversion"/>
  </si>
  <si>
    <t>일반사업비</t>
    <phoneticPr fontId="2" type="noConversion"/>
  </si>
  <si>
    <t>*잡수입(직원식대): 300,000원 x 12월</t>
    <phoneticPr fontId="2" type="noConversion"/>
  </si>
  <si>
    <t>*보호자 자조모임(상,하반기): 300,000원 x 2회</t>
    <phoneticPr fontId="2" type="noConversion"/>
  </si>
  <si>
    <t>*홍보출판비: 250,000원 x 4회</t>
    <phoneticPr fontId="2" type="noConversion"/>
  </si>
  <si>
    <t>*직원식대비: 300,000원 x 12월</t>
    <phoneticPr fontId="2" type="noConversion"/>
  </si>
  <si>
    <t>*주방 닥트청소 및 유지관리비 : 300,000원 x 1회</t>
    <phoneticPr fontId="2" type="noConversion"/>
  </si>
  <si>
    <t>*기타 복지프로그램: 50,000원 x 4회</t>
    <phoneticPr fontId="2" type="noConversion"/>
  </si>
  <si>
    <t>*나들이행사(소규모): 150,000원 x 4회</t>
    <phoneticPr fontId="2" type="noConversion"/>
  </si>
  <si>
    <t>*기타수용비 및 인쇄비: 300,000원 x 4회</t>
    <phoneticPr fontId="2" type="noConversion"/>
  </si>
  <si>
    <t>최초 세입.세출 예산(안)</t>
    <phoneticPr fontId="2" type="noConversion"/>
  </si>
  <si>
    <t>결산추경
(A)</t>
    <phoneticPr fontId="2" type="noConversion"/>
  </si>
  <si>
    <t>보조금수입</t>
    <phoneticPr fontId="2" type="noConversion"/>
  </si>
  <si>
    <t>잡수입</t>
    <phoneticPr fontId="2" type="noConversion"/>
  </si>
  <si>
    <t>전년도이월금</t>
    <phoneticPr fontId="2" type="noConversion"/>
  </si>
  <si>
    <t>자산취득비</t>
    <phoneticPr fontId="2" type="noConversion"/>
  </si>
  <si>
    <t>상담사업비</t>
    <phoneticPr fontId="2" type="noConversion"/>
  </si>
  <si>
    <t>홍보출판사업비</t>
    <phoneticPr fontId="2" type="noConversion"/>
  </si>
  <si>
    <t>*기타 교육 등: 30,000원 x 4회</t>
    <phoneticPr fontId="2" type="noConversion"/>
  </si>
  <si>
    <t>시군구보조금수입</t>
    <phoneticPr fontId="2" type="noConversion"/>
  </si>
  <si>
    <t>국고보조금수입</t>
    <phoneticPr fontId="2" type="noConversion"/>
  </si>
  <si>
    <t>시도보조금수입</t>
    <phoneticPr fontId="2" type="noConversion"/>
  </si>
  <si>
    <t>*시군구보조금(관리운영비): 5,000,000원 x 4분기</t>
    <phoneticPr fontId="2" type="noConversion"/>
  </si>
  <si>
    <t>*자격수당 : 1,800,000원</t>
    <phoneticPr fontId="2" type="noConversion"/>
  </si>
  <si>
    <t>*자동차세 外: 112,000원 x 3대</t>
    <phoneticPr fontId="2" type="noConversion"/>
  </si>
  <si>
    <t>국고보조금</t>
    <phoneticPr fontId="2" type="noConversion"/>
  </si>
  <si>
    <t>시도보조금</t>
    <phoneticPr fontId="2" type="noConversion"/>
  </si>
  <si>
    <t>시군구보조금</t>
    <phoneticPr fontId="2" type="noConversion"/>
  </si>
  <si>
    <t>*인터넷 사용료 및 전화료: 70,000원 x 12월</t>
    <phoneticPr fontId="2" type="noConversion"/>
  </si>
  <si>
    <t>*시설건물관리비: 500,000원 x 12회</t>
    <phoneticPr fontId="2" type="noConversion"/>
  </si>
  <si>
    <t>*유류대: 500,000원 x 12월(송영차량 3대)</t>
    <phoneticPr fontId="2" type="noConversion"/>
  </si>
  <si>
    <t>*직원연수: 500,000원 x 2회</t>
    <phoneticPr fontId="2" type="noConversion"/>
  </si>
  <si>
    <t>*원예교실: 50,000원 x 12회</t>
    <phoneticPr fontId="2" type="noConversion"/>
  </si>
  <si>
    <t>*미술교실: 70,000원 x 12회</t>
    <phoneticPr fontId="2" type="noConversion"/>
  </si>
  <si>
    <t>*절기행사(설, 추석 外): 188,000원 x 5회</t>
    <phoneticPr fontId="2" type="noConversion"/>
  </si>
  <si>
    <t>*전기,도시가스,상하수도 등: 700,000원 x 12월</t>
    <phoneticPr fontId="2" type="noConversion"/>
  </si>
  <si>
    <t>*수용기관경비: 150,000원 x 1회</t>
    <phoneticPr fontId="2" type="noConversion"/>
  </si>
  <si>
    <t>반환금</t>
    <phoneticPr fontId="2" type="noConversion"/>
  </si>
  <si>
    <t>*반환금(보조금예금이자수입): 20,000원 x 1회</t>
    <phoneticPr fontId="2" type="noConversion"/>
  </si>
  <si>
    <t>기타잡수입</t>
    <phoneticPr fontId="2" type="noConversion"/>
  </si>
  <si>
    <t>업무추진비</t>
    <phoneticPr fontId="2" type="noConversion"/>
  </si>
  <si>
    <t>회의비</t>
    <phoneticPr fontId="2" type="noConversion"/>
  </si>
  <si>
    <t>운영비</t>
    <phoneticPr fontId="2" type="noConversion"/>
  </si>
  <si>
    <t>시설비</t>
    <phoneticPr fontId="2" type="noConversion"/>
  </si>
  <si>
    <t>수용기관경비</t>
    <phoneticPr fontId="2" type="noConversion"/>
  </si>
  <si>
    <t>재활프로그램사업비</t>
    <phoneticPr fontId="2" type="noConversion"/>
  </si>
  <si>
    <t>일상생활지원사업비</t>
    <phoneticPr fontId="2" type="noConversion"/>
  </si>
  <si>
    <t>직원연수교육비</t>
    <phoneticPr fontId="2" type="noConversion"/>
  </si>
  <si>
    <t>봉사자및후원자관리비</t>
    <phoneticPr fontId="2" type="noConversion"/>
  </si>
  <si>
    <t>기타사업비</t>
    <phoneticPr fontId="2" type="noConversion"/>
  </si>
  <si>
    <t>*협회 감사의날 행사비 편성으로 특별사업지원사업비 증액</t>
    <phoneticPr fontId="2" type="noConversion"/>
  </si>
  <si>
    <t>○ 세입의 주요내용</t>
    <phoneticPr fontId="2" type="noConversion"/>
  </si>
  <si>
    <t xml:space="preserve">  (단위: 원)</t>
    <phoneticPr fontId="2" type="noConversion"/>
  </si>
  <si>
    <t xml:space="preserve">○ 세출의 주요내용 </t>
    <phoneticPr fontId="2" type="noConversion"/>
  </si>
  <si>
    <t>■ 사업장명 : 참좋은기억학교</t>
    <phoneticPr fontId="2" type="noConversion"/>
  </si>
  <si>
    <t>*차년도 이월예정금에 따른 전년도이월금 증액 조정</t>
    <phoneticPr fontId="2" type="noConversion"/>
  </si>
  <si>
    <t>*종사자 인건비 가이드라인 인상에 따른 급여 증액 조정</t>
    <phoneticPr fontId="2" type="noConversion"/>
  </si>
  <si>
    <t>*종사자 인건비 인상에 따른 퇴직금및퇴직적립금 증액 조정</t>
    <phoneticPr fontId="2" type="noConversion"/>
  </si>
  <si>
    <t>*인건비 인상 및 사회보험요율 인상 따른 사회보험부담금 증액</t>
    <phoneticPr fontId="2" type="noConversion"/>
  </si>
  <si>
    <t>*직원사례회의 및 운영위원회 회의비 증액 조정</t>
    <phoneticPr fontId="2" type="noConversion"/>
  </si>
  <si>
    <t>*비대면모임 대신 보호자 자조모임 상하반기 실시로 증액 조정</t>
    <phoneticPr fontId="2" type="noConversion"/>
  </si>
  <si>
    <t>*각종 프로그램의 다양화로 재활프로그램사업비 증액 조정</t>
    <phoneticPr fontId="2" type="noConversion"/>
  </si>
  <si>
    <t>*신규 프로그램 편성으로  일상생활지원사업비 증액 조정</t>
    <phoneticPr fontId="2" type="noConversion"/>
  </si>
  <si>
    <t>*기존 구입비품 활용으로 인한 수용기관경비 감액 조정</t>
    <phoneticPr fontId="2" type="noConversion"/>
  </si>
  <si>
    <t>*비대면행사 종료 후 협회 직원연수교육 편성으로 인한 증액</t>
    <phoneticPr fontId="2" type="noConversion"/>
  </si>
  <si>
    <t>*사업예산 적정 편성 및 집행으로 반환금 감액 조정</t>
    <phoneticPr fontId="2" type="noConversion"/>
  </si>
  <si>
    <t xml:space="preserve">2022년 참좋은기억학교 </t>
    <phoneticPr fontId="2" type="noConversion"/>
  </si>
  <si>
    <t>1. 참좋은기억학교의 2022년 최초 세입,세출 예산은 다음과 같다.</t>
    <phoneticPr fontId="2" type="noConversion"/>
  </si>
  <si>
    <t>2022년 참좋은기억학교 최초 예산 총괄내역서</t>
    <phoneticPr fontId="2" type="noConversion"/>
  </si>
  <si>
    <t>2022년 최초예산
(B)</t>
    <phoneticPr fontId="2" type="noConversion"/>
  </si>
  <si>
    <t>1) 2022년 참좋은기억학교 최초 세입 예산 내역</t>
    <phoneticPr fontId="2" type="noConversion"/>
  </si>
  <si>
    <t>2) 2022년 참좋은기억학교 최초 세출 예산 내역</t>
    <phoneticPr fontId="2" type="noConversion"/>
  </si>
  <si>
    <t>2021년
결산추경(A)</t>
    <phoneticPr fontId="17" type="noConversion"/>
  </si>
  <si>
    <t>2022년
최초예산(B)</t>
    <phoneticPr fontId="2" type="noConversion"/>
  </si>
  <si>
    <t>*시설장(19호봉): 4,193,000원 x 7월 x 1명</t>
    <phoneticPr fontId="2" type="noConversion"/>
  </si>
  <si>
    <t>*시설장(20호봉): 4,667,300원 x 5월 x 1명</t>
    <phoneticPr fontId="2" type="noConversion"/>
  </si>
  <si>
    <t>*선임사회복지사1(8호봉): 2,626,300원 x 1월 x 1명</t>
    <phoneticPr fontId="2" type="noConversion"/>
  </si>
  <si>
    <t>*선임사회복지사1(9호봉): 2,729,100원 x 11월 x 1명</t>
    <phoneticPr fontId="2" type="noConversion"/>
  </si>
  <si>
    <t>*사회복지사2(7호봉): 2,311,800원 x 9월 x 1명</t>
    <phoneticPr fontId="2" type="noConversion"/>
  </si>
  <si>
    <t>*사회복지사2(8호봉): 2,407,900원 x 3월 x 1명</t>
    <phoneticPr fontId="2" type="noConversion"/>
  </si>
  <si>
    <t>*사회복지사3(2호봉): 1,979,400원 x 10월 x 1명</t>
    <phoneticPr fontId="2" type="noConversion"/>
  </si>
  <si>
    <t>*사회복지사3(3호봉): 2,031,300원 x 2월 x 1명</t>
    <phoneticPr fontId="2" type="noConversion"/>
  </si>
  <si>
    <t>*사회복지사5(4호봉): 2,092,200원 x 11월 x 1명</t>
    <phoneticPr fontId="2" type="noConversion"/>
  </si>
  <si>
    <t>*사회복지사5(5호봉): 2,156,000원 x 1월 x 1명</t>
    <phoneticPr fontId="2" type="noConversion"/>
  </si>
  <si>
    <t>*간호조무사(연봉제): 1,970,000원 x 12월 x 1명</t>
    <phoneticPr fontId="2" type="noConversion"/>
  </si>
  <si>
    <t>*조리사(연봉제):1,550,000원 x 12월 x 1명</t>
    <phoneticPr fontId="2" type="noConversion"/>
  </si>
  <si>
    <t>*사무원(1호봉): 1,909,800원 x 8월 x 1명</t>
    <phoneticPr fontId="2" type="noConversion"/>
  </si>
  <si>
    <t>*사무원(2호봉): 1,964,000원 x 4월 x 1명</t>
    <phoneticPr fontId="2" type="noConversion"/>
  </si>
  <si>
    <t>*사회복지사4(1호봉): 1,948,500원 x 2월 x 1명</t>
    <phoneticPr fontId="2" type="noConversion"/>
  </si>
  <si>
    <t>*사회복지사4(1호봉): 1,979,400원 x 10월 x 1명</t>
    <phoneticPr fontId="2" type="noConversion"/>
  </si>
  <si>
    <t>*명절상여금 : 23,334,520원</t>
    <phoneticPr fontId="2" type="noConversion"/>
  </si>
  <si>
    <t>명절상여금 : 11,667,260원 x 2회</t>
    <phoneticPr fontId="2" type="noConversion"/>
  </si>
  <si>
    <t>가족수당 : 445,000원 x 4분기</t>
    <phoneticPr fontId="2" type="noConversion"/>
  </si>
  <si>
    <t>*가족수당 : 1,780,000원</t>
    <phoneticPr fontId="2" type="noConversion"/>
  </si>
  <si>
    <t>자격수당 : 100,000원 x 6회 x 3명</t>
    <phoneticPr fontId="2" type="noConversion"/>
  </si>
  <si>
    <t>임금보전액 : 61,720원 x 12회</t>
    <phoneticPr fontId="2" type="noConversion"/>
  </si>
  <si>
    <t>*임금보전액 : 740,640원</t>
    <phoneticPr fontId="2" type="noConversion"/>
  </si>
  <si>
    <t>*직원 복지포인트: 1,850,000원 x 1회</t>
    <phoneticPr fontId="2" type="noConversion"/>
  </si>
  <si>
    <t>*직원 단체상해보험: 90,000원 x 1회</t>
    <phoneticPr fontId="2" type="noConversion"/>
  </si>
  <si>
    <t>*기타 복리후생경비: 200,000원 x 2회</t>
    <phoneticPr fontId="2" type="noConversion"/>
  </si>
  <si>
    <t>*국민연금: 285,628,210원 x 4.5%</t>
    <phoneticPr fontId="2" type="noConversion"/>
  </si>
  <si>
    <t>*건강보험: 285,628,210원 x 3.495%</t>
    <phoneticPr fontId="2" type="noConversion"/>
  </si>
  <si>
    <t>*장기요양보험: 9,956,821원 x 12.27%</t>
    <phoneticPr fontId="2" type="noConversion"/>
  </si>
  <si>
    <t>*퇴직적립금: 23,740,630원 x 1회</t>
    <phoneticPr fontId="2" type="noConversion"/>
  </si>
  <si>
    <t>*시간외수당 : 6,467,050원</t>
    <phoneticPr fontId="2" type="noConversion"/>
  </si>
  <si>
    <t>*시군구보조금(인건비): 84,588,225원 x 4분기</t>
    <phoneticPr fontId="2" type="noConversion"/>
  </si>
  <si>
    <t>*기타잡수입(사회복지실습 外): 400,000원 x 2회</t>
    <phoneticPr fontId="2" type="noConversion"/>
  </si>
  <si>
    <t>2021. 11</t>
    <phoneticPr fontId="2" type="noConversion"/>
  </si>
  <si>
    <t>*실비수입(일1만원): 10,000원 x 19명 x 247일</t>
    <phoneticPr fontId="2" type="noConversion"/>
  </si>
  <si>
    <t>2022년
최초예산
(B)</t>
    <phoneticPr fontId="2" type="noConversion"/>
  </si>
  <si>
    <t>*영업배상책임보험 外: 500,000원 x 2회</t>
    <phoneticPr fontId="2" type="noConversion"/>
  </si>
  <si>
    <t>*기타세금 및 협회비: 300,000원 x 6회</t>
    <phoneticPr fontId="2" type="noConversion"/>
  </si>
  <si>
    <t>*차량보험료: 950,000원 x 3대</t>
    <phoneticPr fontId="2" type="noConversion"/>
  </si>
  <si>
    <t>*사무기기(데스크탑 등) 렌탈이용료: 204,600 x 12회</t>
    <phoneticPr fontId="2" type="noConversion"/>
  </si>
  <si>
    <t>*송영차량구입 월할부금(쉐보레 스파크): 238,333원 x 12회</t>
    <phoneticPr fontId="2" type="noConversion"/>
  </si>
  <si>
    <t>*노후비품 교체 자산취득비: 250,000 x 2회</t>
    <phoneticPr fontId="2" type="noConversion"/>
  </si>
  <si>
    <t>*사회복지사 보수교육: 24,000원 x 6명</t>
    <phoneticPr fontId="2" type="noConversion"/>
  </si>
  <si>
    <t>*슬기로운 학교생활: 50,000원 x 4회</t>
    <phoneticPr fontId="2" type="noConversion"/>
  </si>
  <si>
    <t>*과학교실: 50,000원 x 4회</t>
    <phoneticPr fontId="2" type="noConversion"/>
  </si>
  <si>
    <t>*도형교실: 5,000원 x 40명 x 1회</t>
    <phoneticPr fontId="2" type="noConversion"/>
  </si>
  <si>
    <t>*문학교실: 20,000원 x 3회</t>
    <phoneticPr fontId="2" type="noConversion"/>
  </si>
  <si>
    <t>*재미있는 감각교실: 15,000원 x 24회</t>
    <phoneticPr fontId="2" type="noConversion"/>
  </si>
  <si>
    <t>*음악교실: 100,000원 x 2회</t>
    <phoneticPr fontId="2" type="noConversion"/>
  </si>
  <si>
    <t>*놀이교실: 50,000원 x 2회</t>
    <phoneticPr fontId="2" type="noConversion"/>
  </si>
  <si>
    <t>*클레이교실: 60,000원 x 12회</t>
    <phoneticPr fontId="2" type="noConversion"/>
  </si>
  <si>
    <t>*한궁교실: 70,000원 x 2회</t>
    <phoneticPr fontId="2" type="noConversion"/>
  </si>
  <si>
    <t>*회상교실: 50,000원 x 4회</t>
    <phoneticPr fontId="2" type="noConversion"/>
  </si>
  <si>
    <t>*치매예방체조 外: 50,000원 x 4회</t>
    <phoneticPr fontId="2" type="noConversion"/>
  </si>
  <si>
    <t>*뷰티교실: 50,000원 x 4회</t>
    <phoneticPr fontId="2" type="noConversion"/>
  </si>
  <si>
    <t>*다도교실: 35,000원  x 6회</t>
    <phoneticPr fontId="2" type="noConversion"/>
  </si>
  <si>
    <t>*생신잔치: 65,000원 x 12회</t>
    <phoneticPr fontId="2" type="noConversion"/>
  </si>
  <si>
    <t>*특별행사PG: 150,000원 x 2회</t>
    <phoneticPr fontId="2" type="noConversion"/>
  </si>
  <si>
    <t>*여비: 100,000원 x 4회</t>
    <phoneticPr fontId="2" type="noConversion"/>
  </si>
  <si>
    <t>*기타사업 및 교구구입비: 100,000원 x 2회</t>
    <phoneticPr fontId="2" type="noConversion"/>
  </si>
  <si>
    <t>*전년도이월금(사업수입): 9,000,000원 x 1회</t>
    <phoneticPr fontId="2" type="noConversion"/>
  </si>
  <si>
    <t>2022년 참좋은기억학교 최초 예산 증감사항 및 주요내용</t>
    <phoneticPr fontId="2" type="noConversion"/>
  </si>
  <si>
    <t>*종사자 호봉 및 인건비 인상에 따른 시군구보조금 증액 조정</t>
    <phoneticPr fontId="2" type="noConversion"/>
  </si>
  <si>
    <t>*위드코로나에 따른 이용자 및 기관 이용일수 증가로 증액 조정</t>
    <phoneticPr fontId="2" type="noConversion"/>
  </si>
  <si>
    <t>*사회복지실습 추가편성으로 기타잡수입 증액 조정</t>
    <phoneticPr fontId="2" type="noConversion"/>
  </si>
  <si>
    <t>*기타예금이자수입 증액 조정</t>
    <phoneticPr fontId="2" type="noConversion"/>
  </si>
  <si>
    <t>*종사자 복지포인트 및 단체상해보험료 지원으로 증액 조정</t>
    <phoneticPr fontId="2" type="noConversion"/>
  </si>
  <si>
    <t>*인건비 인상 및 시간외 수당 지원에 따른 제수당 증액 조정</t>
    <phoneticPr fontId="2" type="noConversion"/>
  </si>
  <si>
    <t>*유관기관과의 업무협약 증대로 인한 기관운영비 증액 조정</t>
    <phoneticPr fontId="2" type="noConversion"/>
  </si>
  <si>
    <t>*위드코로나로 인해 교육연수기회 확대로 여비 증액 조정</t>
    <phoneticPr fontId="2" type="noConversion"/>
  </si>
  <si>
    <t>*복사기/복합기임차료: 204,600원 x 12월</t>
    <phoneticPr fontId="2" type="noConversion"/>
  </si>
  <si>
    <t>*사무용품 및 집기구입: 340,600원 x 8회</t>
    <phoneticPr fontId="2" type="noConversion"/>
  </si>
  <si>
    <t>*위드코로나로 인한 기관 정상운영으로 공공요금 증액 조정</t>
    <phoneticPr fontId="2" type="noConversion"/>
  </si>
  <si>
    <t>*영업배상책임보험료 인상으로 인한 제세공과금 증액 조정</t>
    <phoneticPr fontId="2" type="noConversion"/>
  </si>
  <si>
    <t>*종사자 근무복 제작비 감액으로 인한 기타운영비 감액 조정</t>
    <phoneticPr fontId="2" type="noConversion"/>
  </si>
  <si>
    <t>*기관 정상운영 및 물가인상에 따른 생계비 증액 조정</t>
    <phoneticPr fontId="2" type="noConversion"/>
  </si>
  <si>
    <t>*협회 정규교과목 교재 제작완료로 인한 홍보출판비 감액 조정</t>
    <phoneticPr fontId="2" type="noConversion"/>
  </si>
  <si>
    <t>*외부방문객 출입제한 완화로 인한 봉사자및후원자관리비 증액</t>
    <phoneticPr fontId="2" type="noConversion"/>
  </si>
  <si>
    <t>*기존 교구활용으로 인한 기타사업비 감액 조정</t>
    <phoneticPr fontId="2" type="noConversion"/>
  </si>
  <si>
    <r>
      <t xml:space="preserve">2. 세입.세출 예산 총액은 </t>
    </r>
    <r>
      <rPr>
        <b/>
        <u/>
        <sz val="12"/>
        <rFont val="굴림"/>
        <family val="3"/>
        <charset val="129"/>
      </rPr>
      <t>418,713,000원</t>
    </r>
    <r>
      <rPr>
        <sz val="12"/>
        <rFont val="굴림"/>
        <family val="3"/>
        <charset val="129"/>
      </rPr>
      <t>으로한다.</t>
    </r>
    <phoneticPr fontId="2" type="noConversion"/>
  </si>
  <si>
    <t>*기타예금이자수입: 15,050원 * 2회</t>
    <phoneticPr fontId="2" type="noConversion"/>
  </si>
  <si>
    <t>*냉난방기 유지관리비 外: 550,000원 x 1회</t>
    <phoneticPr fontId="2" type="noConversion"/>
  </si>
  <si>
    <t>*차량관리비 및 수리비 : 200,000원 x 4회 x 3대</t>
    <phoneticPr fontId="2" type="noConversion"/>
  </si>
  <si>
    <t>*산재보험: 226,414,530원 x 0.76%</t>
    <phoneticPr fontId="2" type="noConversion"/>
  </si>
  <si>
    <t>*고용보험: 226,414,530원 x 1.25%</t>
    <phoneticPr fontId="2" type="noConversion"/>
  </si>
  <si>
    <t>*생계비: 1,600원 x 40명 x 247일</t>
    <phoneticPr fontId="2" type="noConversion"/>
  </si>
  <si>
    <t>*기억학교협회 감사의 날: 600,000원 x 1회</t>
    <phoneticPr fontId="2" type="noConversion"/>
  </si>
  <si>
    <t xml:space="preserve">시간외수당(월 5시간 * 7명 * 12월) </t>
    <phoneticPr fontId="2" type="noConversion"/>
  </si>
  <si>
    <t>*예비비: 100,179원 x 1회</t>
    <phoneticPr fontId="2" type="noConversion"/>
  </si>
  <si>
    <t>*운동기구 구입/이용 프로그램 진행계획으로 사업비 증액 조정</t>
    <phoneticPr fontId="2" type="noConversion"/>
  </si>
  <si>
    <t>*예비비 감액 조정</t>
    <phoneticPr fontId="2" type="noConversion"/>
  </si>
  <si>
    <t>*시설 소모품 절약 및 재활용으로 수용비 및 수수료 감액 조정</t>
    <phoneticPr fontId="2" type="noConversion"/>
  </si>
  <si>
    <t>*노후된 사무기기 교체를 위한 자산취득비 증액 조정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</si>
</sst>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0_);[Red]\(0\)"/>
  </numFmts>
  <fonts count="2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sz val="20"/>
      <name val="굴림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b/>
      <sz val="16"/>
      <name val="굴림"/>
      <family val="3"/>
      <charset val="129"/>
    </font>
    <font>
      <b/>
      <sz val="25"/>
      <name val="굴림"/>
      <family val="3"/>
      <charset val="129"/>
    </font>
    <font>
      <sz val="12"/>
      <name val="굴림"/>
      <family val="3"/>
      <charset val="129"/>
    </font>
    <font>
      <b/>
      <u/>
      <sz val="12"/>
      <name val="굴림"/>
      <family val="3"/>
      <charset val="129"/>
    </font>
    <font>
      <sz val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1" fontId="6" fillId="0" borderId="0" xfId="0" applyNumberFormat="1" applyFont="1" applyBorder="1" applyAlignment="1">
      <alignment horizontal="right" vertical="center"/>
    </xf>
    <xf numFmtId="41" fontId="6" fillId="0" borderId="0" xfId="0" applyNumberFormat="1" applyFont="1" applyBorder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41" fontId="2" fillId="0" borderId="0" xfId="2" applyNumberFormat="1" applyFont="1">
      <alignment vertical="center"/>
    </xf>
    <xf numFmtId="0" fontId="2" fillId="0" borderId="0" xfId="2" applyFont="1">
      <alignment vertical="center"/>
    </xf>
    <xf numFmtId="0" fontId="10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" fontId="11" fillId="0" borderId="10" xfId="0" applyNumberFormat="1" applyFont="1" applyBorder="1" applyAlignment="1">
      <alignment vertical="center"/>
    </xf>
    <xf numFmtId="3" fontId="11" fillId="0" borderId="11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3" fontId="12" fillId="0" borderId="14" xfId="0" applyNumberFormat="1" applyFont="1" applyBorder="1" applyAlignment="1">
      <alignment vertical="center"/>
    </xf>
    <xf numFmtId="3" fontId="12" fillId="0" borderId="15" xfId="0" applyNumberFormat="1" applyFont="1" applyBorder="1" applyAlignment="1">
      <alignment horizontal="righ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vertical="center"/>
    </xf>
    <xf numFmtId="3" fontId="12" fillId="0" borderId="22" xfId="0" applyNumberFormat="1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3" fontId="12" fillId="0" borderId="25" xfId="0" applyNumberFormat="1" applyFont="1" applyBorder="1" applyAlignment="1">
      <alignment vertical="center"/>
    </xf>
    <xf numFmtId="3" fontId="12" fillId="0" borderId="26" xfId="0" applyNumberFormat="1" applyFont="1" applyBorder="1" applyAlignment="1">
      <alignment horizontal="right" vertical="center"/>
    </xf>
    <xf numFmtId="0" fontId="12" fillId="0" borderId="2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11" fillId="0" borderId="11" xfId="0" applyNumberFormat="1" applyFont="1" applyBorder="1" applyAlignment="1">
      <alignment vertical="center"/>
    </xf>
    <xf numFmtId="0" fontId="12" fillId="0" borderId="28" xfId="0" applyFont="1" applyBorder="1" applyAlignment="1">
      <alignment horizontal="center" vertical="center"/>
    </xf>
    <xf numFmtId="3" fontId="12" fillId="0" borderId="29" xfId="0" applyNumberFormat="1" applyFont="1" applyBorder="1" applyAlignment="1">
      <alignment vertical="center"/>
    </xf>
    <xf numFmtId="3" fontId="12" fillId="0" borderId="20" xfId="0" applyNumberFormat="1" applyFont="1" applyBorder="1">
      <alignment vertical="center"/>
    </xf>
    <xf numFmtId="3" fontId="12" fillId="0" borderId="25" xfId="0" applyNumberFormat="1" applyFont="1" applyBorder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0" fontId="3" fillId="0" borderId="0" xfId="0" applyFont="1">
      <alignment vertical="center"/>
    </xf>
    <xf numFmtId="0" fontId="11" fillId="0" borderId="33" xfId="0" applyFont="1" applyBorder="1" applyAlignment="1">
      <alignment horizontal="center" vertical="center"/>
    </xf>
    <xf numFmtId="3" fontId="11" fillId="0" borderId="29" xfId="1" applyNumberFormat="1" applyFont="1" applyBorder="1" applyAlignment="1">
      <alignment vertical="center"/>
    </xf>
    <xf numFmtId="3" fontId="12" fillId="0" borderId="20" xfId="1" applyNumberFormat="1" applyFont="1" applyBorder="1" applyAlignment="1">
      <alignment vertical="center"/>
    </xf>
    <xf numFmtId="0" fontId="12" fillId="0" borderId="20" xfId="0" applyFont="1" applyBorder="1" applyAlignment="1">
      <alignment horizontal="left" vertical="center"/>
    </xf>
    <xf numFmtId="3" fontId="12" fillId="0" borderId="20" xfId="0" applyNumberFormat="1" applyFont="1" applyBorder="1" applyAlignment="1">
      <alignment vertical="center"/>
    </xf>
    <xf numFmtId="0" fontId="12" fillId="0" borderId="39" xfId="0" applyFont="1" applyBorder="1" applyAlignment="1">
      <alignment horizontal="left" vertical="center"/>
    </xf>
    <xf numFmtId="3" fontId="11" fillId="0" borderId="20" xfId="0" applyNumberFormat="1" applyFont="1" applyBorder="1" applyAlignment="1">
      <alignment vertical="center"/>
    </xf>
    <xf numFmtId="3" fontId="11" fillId="0" borderId="20" xfId="1" applyNumberFormat="1" applyFont="1" applyBorder="1" applyAlignment="1">
      <alignment vertical="center"/>
    </xf>
    <xf numFmtId="3" fontId="12" fillId="0" borderId="39" xfId="1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45" xfId="0" applyFont="1" applyBorder="1" applyAlignment="1">
      <alignment horizontal="left" vertical="center"/>
    </xf>
    <xf numFmtId="3" fontId="12" fillId="0" borderId="20" xfId="1" applyNumberFormat="1" applyFont="1" applyBorder="1" applyAlignment="1">
      <alignment horizontal="right" vertical="center"/>
    </xf>
    <xf numFmtId="3" fontId="11" fillId="0" borderId="20" xfId="1" applyNumberFormat="1" applyFont="1" applyBorder="1" applyAlignment="1">
      <alignment horizontal="right" vertical="center"/>
    </xf>
    <xf numFmtId="3" fontId="12" fillId="0" borderId="29" xfId="1" applyNumberFormat="1" applyFont="1" applyBorder="1" applyAlignment="1">
      <alignment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/>
    </xf>
    <xf numFmtId="0" fontId="12" fillId="0" borderId="37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3" fontId="12" fillId="0" borderId="39" xfId="0" applyNumberFormat="1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3" fontId="12" fillId="0" borderId="38" xfId="1" applyNumberFormat="1" applyFont="1" applyBorder="1" applyAlignment="1">
      <alignment vertical="center"/>
    </xf>
    <xf numFmtId="0" fontId="12" fillId="0" borderId="49" xfId="0" applyFont="1" applyBorder="1" applyAlignment="1">
      <alignment horizontal="left" vertical="center"/>
    </xf>
    <xf numFmtId="0" fontId="12" fillId="0" borderId="50" xfId="0" applyFont="1" applyBorder="1" applyAlignment="1">
      <alignment horizontal="left" vertical="center"/>
    </xf>
    <xf numFmtId="3" fontId="12" fillId="0" borderId="39" xfId="1" applyNumberFormat="1" applyFont="1" applyBorder="1" applyAlignment="1">
      <alignment horizontal="right" vertical="center"/>
    </xf>
    <xf numFmtId="3" fontId="12" fillId="0" borderId="38" xfId="1" applyNumberFormat="1" applyFont="1" applyBorder="1" applyAlignment="1">
      <alignment horizontal="right" vertical="center"/>
    </xf>
    <xf numFmtId="3" fontId="12" fillId="0" borderId="29" xfId="1" applyNumberFormat="1" applyFont="1" applyBorder="1" applyAlignment="1">
      <alignment horizontal="right" vertical="center"/>
    </xf>
    <xf numFmtId="0" fontId="12" fillId="0" borderId="51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3" fontId="12" fillId="0" borderId="30" xfId="0" applyNumberFormat="1" applyFont="1" applyBorder="1" applyAlignment="1">
      <alignment vertical="center"/>
    </xf>
    <xf numFmtId="3" fontId="12" fillId="0" borderId="15" xfId="0" applyNumberFormat="1" applyFont="1" applyBorder="1" applyAlignment="1">
      <alignment vertical="center"/>
    </xf>
    <xf numFmtId="0" fontId="3" fillId="0" borderId="0" xfId="2" applyFont="1">
      <alignment vertical="center"/>
    </xf>
    <xf numFmtId="0" fontId="12" fillId="0" borderId="0" xfId="2" applyFont="1" applyAlignment="1">
      <alignment horizontal="left" vertical="center"/>
    </xf>
    <xf numFmtId="3" fontId="12" fillId="0" borderId="0" xfId="2" applyNumberFormat="1" applyFont="1" applyAlignment="1">
      <alignment horizontal="right" vertical="center"/>
    </xf>
    <xf numFmtId="3" fontId="12" fillId="0" borderId="0" xfId="2" applyNumberFormat="1" applyFont="1">
      <alignment vertical="center"/>
    </xf>
    <xf numFmtId="3" fontId="12" fillId="0" borderId="39" xfId="2" applyNumberFormat="1" applyFont="1" applyBorder="1">
      <alignment vertical="center"/>
    </xf>
    <xf numFmtId="0" fontId="12" fillId="0" borderId="12" xfId="2" applyFont="1" applyBorder="1">
      <alignment vertical="center"/>
    </xf>
    <xf numFmtId="0" fontId="12" fillId="0" borderId="39" xfId="2" applyFont="1" applyBorder="1">
      <alignment vertical="center"/>
    </xf>
    <xf numFmtId="0" fontId="12" fillId="0" borderId="16" xfId="2" applyFont="1" applyBorder="1">
      <alignment vertical="center"/>
    </xf>
    <xf numFmtId="0" fontId="12" fillId="0" borderId="38" xfId="2" applyFont="1" applyBorder="1">
      <alignment vertical="center"/>
    </xf>
    <xf numFmtId="0" fontId="12" fillId="0" borderId="0" xfId="2" applyFont="1" applyBorder="1">
      <alignment vertical="center"/>
    </xf>
    <xf numFmtId="0" fontId="12" fillId="0" borderId="0" xfId="2" applyFont="1" applyBorder="1" applyAlignment="1">
      <alignment horizontal="left" vertical="center"/>
    </xf>
    <xf numFmtId="3" fontId="12" fillId="0" borderId="0" xfId="2" applyNumberFormat="1" applyFont="1" applyBorder="1" applyAlignment="1">
      <alignment horizontal="right" vertical="center"/>
    </xf>
    <xf numFmtId="3" fontId="12" fillId="0" borderId="0" xfId="2" applyNumberFormat="1" applyFont="1" applyBorder="1">
      <alignment vertical="center"/>
    </xf>
    <xf numFmtId="0" fontId="12" fillId="0" borderId="39" xfId="2" applyFont="1" applyBorder="1" applyAlignment="1">
      <alignment horizontal="left" vertical="center" shrinkToFit="1"/>
    </xf>
    <xf numFmtId="3" fontId="12" fillId="0" borderId="36" xfId="2" applyNumberFormat="1" applyFont="1" applyBorder="1">
      <alignment vertical="center"/>
    </xf>
    <xf numFmtId="3" fontId="12" fillId="0" borderId="36" xfId="2" applyNumberFormat="1" applyFont="1" applyBorder="1" applyAlignment="1">
      <alignment horizontal="right" vertical="center"/>
    </xf>
    <xf numFmtId="3" fontId="11" fillId="0" borderId="29" xfId="2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 shrinkToFit="1"/>
    </xf>
    <xf numFmtId="3" fontId="12" fillId="0" borderId="0" xfId="2" quotePrefix="1" applyNumberFormat="1" applyFont="1" applyBorder="1" applyAlignment="1">
      <alignment horizontal="right" vertical="center"/>
    </xf>
    <xf numFmtId="0" fontId="12" fillId="0" borderId="38" xfId="2" applyFont="1" applyBorder="1" applyAlignment="1">
      <alignment horizontal="left" vertical="center" shrinkToFit="1"/>
    </xf>
    <xf numFmtId="3" fontId="11" fillId="0" borderId="55" xfId="2" applyNumberFormat="1" applyFont="1" applyBorder="1" applyAlignment="1">
      <alignment horizontal="right" vertical="center"/>
    </xf>
    <xf numFmtId="3" fontId="12" fillId="0" borderId="55" xfId="2" applyNumberFormat="1" applyFont="1" applyBorder="1" applyAlignment="1">
      <alignment horizontal="right" vertical="center"/>
    </xf>
    <xf numFmtId="3" fontId="12" fillId="0" borderId="15" xfId="2" applyNumberFormat="1" applyFont="1" applyBorder="1" applyAlignment="1">
      <alignment horizontal="right" vertical="center"/>
    </xf>
    <xf numFmtId="3" fontId="12" fillId="0" borderId="30" xfId="2" applyNumberFormat="1" applyFont="1" applyBorder="1" applyAlignment="1">
      <alignment horizontal="right" vertical="center"/>
    </xf>
    <xf numFmtId="3" fontId="12" fillId="0" borderId="58" xfId="2" quotePrefix="1" applyNumberFormat="1" applyFont="1" applyBorder="1" applyAlignment="1">
      <alignment horizontal="right" vertical="center"/>
    </xf>
    <xf numFmtId="3" fontId="12" fillId="0" borderId="56" xfId="2" quotePrefix="1" applyNumberFormat="1" applyFont="1" applyBorder="1" applyAlignment="1">
      <alignment horizontal="right" vertical="center"/>
    </xf>
    <xf numFmtId="0" fontId="12" fillId="0" borderId="48" xfId="2" applyFont="1" applyBorder="1">
      <alignment vertical="center"/>
    </xf>
    <xf numFmtId="0" fontId="12" fillId="0" borderId="40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49" xfId="0" applyFont="1" applyBorder="1" applyAlignment="1">
      <alignment vertical="center" shrinkToFit="1"/>
    </xf>
    <xf numFmtId="41" fontId="11" fillId="0" borderId="33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right" vertical="center"/>
    </xf>
    <xf numFmtId="41" fontId="12" fillId="0" borderId="38" xfId="1" applyNumberFormat="1" applyFont="1" applyBorder="1" applyAlignment="1">
      <alignment horizontal="right" vertical="center"/>
    </xf>
    <xf numFmtId="41" fontId="12" fillId="0" borderId="29" xfId="1" applyNumberFormat="1" applyFont="1" applyBorder="1" applyAlignment="1">
      <alignment horizontal="right" vertical="center"/>
    </xf>
    <xf numFmtId="43" fontId="19" fillId="0" borderId="40" xfId="7" applyNumberFormat="1" applyFont="1" applyFill="1" applyBorder="1" applyAlignment="1">
      <alignment horizontal="right" vertical="center"/>
    </xf>
    <xf numFmtId="43" fontId="20" fillId="0" borderId="40" xfId="7" applyNumberFormat="1" applyFont="1" applyFill="1" applyBorder="1" applyAlignment="1">
      <alignment horizontal="right" vertical="center"/>
    </xf>
    <xf numFmtId="43" fontId="20" fillId="0" borderId="20" xfId="7" applyNumberFormat="1" applyFont="1" applyFill="1" applyBorder="1" applyAlignment="1">
      <alignment horizontal="right" vertical="center"/>
    </xf>
    <xf numFmtId="43" fontId="20" fillId="0" borderId="37" xfId="7" applyNumberFormat="1" applyFont="1" applyFill="1" applyBorder="1" applyAlignment="1">
      <alignment horizontal="right" vertical="center"/>
    </xf>
    <xf numFmtId="43" fontId="20" fillId="0" borderId="42" xfId="7" applyNumberFormat="1" applyFont="1" applyFill="1" applyBorder="1" applyAlignment="1">
      <alignment horizontal="right" vertical="center"/>
    </xf>
    <xf numFmtId="43" fontId="20" fillId="0" borderId="39" xfId="7" applyNumberFormat="1" applyFont="1" applyFill="1" applyBorder="1" applyAlignment="1">
      <alignment horizontal="right" vertical="center"/>
    </xf>
    <xf numFmtId="3" fontId="12" fillId="0" borderId="14" xfId="0" applyNumberFormat="1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49" fontId="12" fillId="0" borderId="49" xfId="0" applyNumberFormat="1" applyFont="1" applyBorder="1" applyAlignment="1">
      <alignment vertical="center" shrinkToFit="1"/>
    </xf>
    <xf numFmtId="3" fontId="12" fillId="0" borderId="21" xfId="0" applyNumberFormat="1" applyFont="1" applyBorder="1" applyAlignment="1">
      <alignment vertical="center" shrinkToFit="1"/>
    </xf>
    <xf numFmtId="0" fontId="12" fillId="0" borderId="49" xfId="0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43" fontId="20" fillId="0" borderId="51" xfId="7" applyNumberFormat="1" applyFont="1" applyFill="1" applyBorder="1" applyAlignment="1">
      <alignment horizontal="right" vertical="center"/>
    </xf>
    <xf numFmtId="43" fontId="20" fillId="0" borderId="38" xfId="7" applyNumberFormat="1" applyFont="1" applyFill="1" applyBorder="1" applyAlignment="1">
      <alignment horizontal="right" vertical="center"/>
    </xf>
    <xf numFmtId="3" fontId="12" fillId="0" borderId="56" xfId="2" applyNumberFormat="1" applyFont="1" applyBorder="1" applyAlignment="1">
      <alignment horizontal="right" vertical="center"/>
    </xf>
    <xf numFmtId="0" fontId="12" fillId="0" borderId="29" xfId="2" applyFont="1" applyBorder="1">
      <alignment vertical="center"/>
    </xf>
    <xf numFmtId="3" fontId="12" fillId="0" borderId="20" xfId="2" applyNumberFormat="1" applyFont="1" applyBorder="1" applyAlignment="1">
      <alignment horizontal="right" vertical="center"/>
    </xf>
    <xf numFmtId="3" fontId="3" fillId="0" borderId="0" xfId="0" applyNumberFormat="1" applyFont="1">
      <alignment vertical="center"/>
    </xf>
    <xf numFmtId="3" fontId="12" fillId="0" borderId="21" xfId="2" applyNumberFormat="1" applyFont="1" applyBorder="1" applyAlignment="1">
      <alignment horizontal="right" vertical="center"/>
    </xf>
    <xf numFmtId="0" fontId="15" fillId="0" borderId="0" xfId="0" applyFont="1" applyAlignment="1">
      <alignment vertical="center" shrinkToFit="1"/>
    </xf>
    <xf numFmtId="43" fontId="20" fillId="0" borderId="49" xfId="7" applyNumberFormat="1" applyFont="1" applyFill="1" applyBorder="1" applyAlignment="1">
      <alignment horizontal="right" vertical="center"/>
    </xf>
    <xf numFmtId="0" fontId="12" fillId="0" borderId="21" xfId="0" applyFont="1" applyBorder="1" applyAlignment="1">
      <alignment horizontal="left" vertical="center"/>
    </xf>
    <xf numFmtId="3" fontId="12" fillId="0" borderId="13" xfId="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2" fillId="0" borderId="49" xfId="0" applyFont="1" applyBorder="1" applyAlignment="1">
      <alignment horizontal="center" vertical="center"/>
    </xf>
    <xf numFmtId="0" fontId="12" fillId="0" borderId="66" xfId="0" applyFont="1" applyBorder="1" applyAlignment="1">
      <alignment horizontal="left" vertical="center"/>
    </xf>
    <xf numFmtId="43" fontId="19" fillId="0" borderId="14" xfId="7" applyNumberFormat="1" applyFont="1" applyFill="1" applyBorder="1" applyAlignment="1">
      <alignment horizontal="right" vertical="center"/>
    </xf>
    <xf numFmtId="3" fontId="12" fillId="0" borderId="36" xfId="2" applyNumberFormat="1" applyFont="1" applyBorder="1" applyAlignment="1">
      <alignment vertical="center"/>
    </xf>
    <xf numFmtId="3" fontId="12" fillId="0" borderId="20" xfId="2" applyNumberFormat="1" applyFont="1" applyBorder="1" applyAlignment="1">
      <alignment vertical="center"/>
    </xf>
    <xf numFmtId="0" fontId="12" fillId="0" borderId="50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12" fillId="0" borderId="3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3" fontId="12" fillId="0" borderId="49" xfId="0" applyNumberFormat="1" applyFont="1" applyBorder="1" applyAlignment="1">
      <alignment vertical="center"/>
    </xf>
    <xf numFmtId="43" fontId="20" fillId="0" borderId="29" xfId="7" applyNumberFormat="1" applyFont="1" applyFill="1" applyBorder="1" applyAlignment="1">
      <alignment horizontal="right" vertical="center"/>
    </xf>
    <xf numFmtId="3" fontId="12" fillId="0" borderId="49" xfId="0" applyNumberFormat="1" applyFont="1" applyBorder="1" applyAlignment="1">
      <alignment vertical="center" shrinkToFit="1"/>
    </xf>
    <xf numFmtId="43" fontId="20" fillId="0" borderId="14" xfId="7" applyNumberFormat="1" applyFont="1" applyFill="1" applyBorder="1" applyAlignment="1">
      <alignment horizontal="right" vertical="center"/>
    </xf>
    <xf numFmtId="0" fontId="12" fillId="0" borderId="67" xfId="0" applyFont="1" applyBorder="1" applyAlignment="1">
      <alignment horizontal="left" vertical="center"/>
    </xf>
    <xf numFmtId="3" fontId="12" fillId="0" borderId="50" xfId="1" applyNumberFormat="1" applyFont="1" applyBorder="1" applyAlignment="1">
      <alignment horizontal="right" vertical="center"/>
    </xf>
    <xf numFmtId="0" fontId="12" fillId="0" borderId="42" xfId="0" applyFont="1" applyBorder="1" applyAlignment="1">
      <alignment vertical="center" shrinkToFit="1"/>
    </xf>
    <xf numFmtId="3" fontId="12" fillId="0" borderId="40" xfId="0" applyNumberFormat="1" applyFont="1" applyBorder="1" applyAlignment="1">
      <alignment vertical="center" shrinkToFit="1"/>
    </xf>
    <xf numFmtId="0" fontId="12" fillId="0" borderId="39" xfId="2" applyFont="1" applyBorder="1" applyAlignment="1">
      <alignment vertical="center"/>
    </xf>
    <xf numFmtId="0" fontId="12" fillId="0" borderId="29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0" fontId="12" fillId="0" borderId="50" xfId="2" applyFont="1" applyBorder="1" applyAlignment="1">
      <alignment vertical="center"/>
    </xf>
    <xf numFmtId="3" fontId="12" fillId="0" borderId="21" xfId="2" applyNumberFormat="1" applyFont="1" applyBorder="1">
      <alignment vertical="center"/>
    </xf>
    <xf numFmtId="3" fontId="12" fillId="0" borderId="20" xfId="2" applyNumberFormat="1" applyFont="1" applyBorder="1">
      <alignment vertical="center"/>
    </xf>
    <xf numFmtId="3" fontId="12" fillId="0" borderId="43" xfId="2" applyNumberFormat="1" applyFont="1" applyBorder="1" applyAlignment="1">
      <alignment horizontal="right" vertical="center"/>
    </xf>
    <xf numFmtId="3" fontId="12" fillId="0" borderId="43" xfId="2" applyNumberFormat="1" applyFont="1" applyBorder="1">
      <alignment vertical="center"/>
    </xf>
    <xf numFmtId="3" fontId="13" fillId="0" borderId="0" xfId="2" applyNumberFormat="1" applyFont="1" applyAlignment="1">
      <alignment horizontal="center" vertical="center"/>
    </xf>
    <xf numFmtId="3" fontId="12" fillId="0" borderId="14" xfId="1" applyNumberFormat="1" applyFont="1" applyBorder="1">
      <alignment vertical="center"/>
    </xf>
    <xf numFmtId="3" fontId="3" fillId="0" borderId="0" xfId="2" applyNumberFormat="1" applyFont="1">
      <alignment vertical="center"/>
    </xf>
    <xf numFmtId="3" fontId="12" fillId="0" borderId="20" xfId="1" applyNumberFormat="1" applyFont="1" applyBorder="1">
      <alignment vertical="center"/>
    </xf>
    <xf numFmtId="3" fontId="12" fillId="0" borderId="58" xfId="1" quotePrefix="1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left" vertical="center"/>
    </xf>
    <xf numFmtId="3" fontId="11" fillId="0" borderId="33" xfId="0" applyNumberFormat="1" applyFont="1" applyBorder="1" applyAlignment="1">
      <alignment horizontal="center" vertical="center"/>
    </xf>
    <xf numFmtId="41" fontId="12" fillId="0" borderId="0" xfId="1" applyNumberFormat="1" applyFont="1">
      <alignment vertical="center"/>
    </xf>
    <xf numFmtId="41" fontId="12" fillId="0" borderId="63" xfId="1" applyNumberFormat="1" applyFont="1" applyBorder="1">
      <alignment vertical="center"/>
    </xf>
    <xf numFmtId="41" fontId="12" fillId="0" borderId="56" xfId="1" applyNumberFormat="1" applyFont="1" applyBorder="1">
      <alignment vertical="center"/>
    </xf>
    <xf numFmtId="41" fontId="12" fillId="0" borderId="58" xfId="1" applyNumberFormat="1" applyFont="1" applyBorder="1">
      <alignment vertical="center"/>
    </xf>
    <xf numFmtId="41" fontId="12" fillId="0" borderId="60" xfId="1" applyNumberFormat="1" applyFont="1" applyBorder="1">
      <alignment vertical="center"/>
    </xf>
    <xf numFmtId="41" fontId="12" fillId="0" borderId="55" xfId="1" applyNumberFormat="1" applyFont="1" applyBorder="1">
      <alignment vertical="center"/>
    </xf>
    <xf numFmtId="41" fontId="11" fillId="2" borderId="60" xfId="1" applyNumberFormat="1" applyFont="1" applyFill="1" applyBorder="1">
      <alignment vertical="center"/>
    </xf>
    <xf numFmtId="41" fontId="12" fillId="0" borderId="64" xfId="1" applyNumberFormat="1" applyFont="1" applyBorder="1">
      <alignment vertical="center"/>
    </xf>
    <xf numFmtId="0" fontId="12" fillId="0" borderId="68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41" fontId="12" fillId="0" borderId="50" xfId="1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11" fillId="0" borderId="10" xfId="1" applyNumberFormat="1" applyFont="1" applyBorder="1" applyAlignment="1">
      <alignment horizontal="right" vertical="center"/>
    </xf>
    <xf numFmtId="3" fontId="11" fillId="0" borderId="38" xfId="1" applyNumberFormat="1" applyFont="1" applyBorder="1" applyAlignment="1">
      <alignment horizontal="right" vertical="center"/>
    </xf>
    <xf numFmtId="3" fontId="11" fillId="0" borderId="50" xfId="1" applyNumberFormat="1" applyFont="1" applyBorder="1" applyAlignment="1">
      <alignment horizontal="right" vertical="center"/>
    </xf>
    <xf numFmtId="3" fontId="11" fillId="0" borderId="29" xfId="1" applyNumberFormat="1" applyFont="1" applyBorder="1" applyAlignment="1">
      <alignment horizontal="right" vertical="center"/>
    </xf>
    <xf numFmtId="0" fontId="12" fillId="0" borderId="70" xfId="2" applyFont="1" applyBorder="1" applyAlignment="1">
      <alignment horizontal="center" vertical="center"/>
    </xf>
    <xf numFmtId="0" fontId="12" fillId="0" borderId="71" xfId="2" applyFont="1" applyBorder="1" applyAlignment="1">
      <alignment horizontal="center" vertical="center"/>
    </xf>
    <xf numFmtId="3" fontId="12" fillId="0" borderId="71" xfId="2" applyNumberFormat="1" applyFont="1" applyBorder="1" applyAlignment="1">
      <alignment horizontal="center" vertical="center" wrapText="1"/>
    </xf>
    <xf numFmtId="3" fontId="12" fillId="0" borderId="72" xfId="2" applyNumberFormat="1" applyFont="1" applyBorder="1" applyAlignment="1">
      <alignment horizontal="center" vertical="center"/>
    </xf>
    <xf numFmtId="3" fontId="11" fillId="0" borderId="40" xfId="2" applyNumberFormat="1" applyFont="1" applyBorder="1" applyAlignment="1">
      <alignment horizontal="right" vertical="center"/>
    </xf>
    <xf numFmtId="0" fontId="12" fillId="0" borderId="73" xfId="0" applyFont="1" applyBorder="1" applyAlignment="1">
      <alignment horizontal="left" vertical="center"/>
    </xf>
    <xf numFmtId="3" fontId="12" fillId="0" borderId="67" xfId="1" applyNumberFormat="1" applyFont="1" applyBorder="1" applyAlignment="1">
      <alignment vertical="center"/>
    </xf>
    <xf numFmtId="43" fontId="20" fillId="0" borderId="67" xfId="7" applyNumberFormat="1" applyFont="1" applyFill="1" applyBorder="1" applyAlignment="1">
      <alignment horizontal="right" vertical="center"/>
    </xf>
    <xf numFmtId="0" fontId="12" fillId="0" borderId="74" xfId="0" applyFont="1" applyBorder="1" applyAlignment="1">
      <alignment vertical="center" wrapText="1" shrinkToFit="1"/>
    </xf>
    <xf numFmtId="41" fontId="12" fillId="0" borderId="75" xfId="1" applyNumberFormat="1" applyFont="1" applyBorder="1">
      <alignment vertical="center"/>
    </xf>
    <xf numFmtId="3" fontId="12" fillId="0" borderId="36" xfId="1" applyNumberFormat="1" applyFont="1" applyBorder="1" applyAlignment="1">
      <alignment horizontal="right" vertical="center"/>
    </xf>
    <xf numFmtId="3" fontId="12" fillId="0" borderId="55" xfId="2" quotePrefix="1" applyNumberFormat="1" applyFont="1" applyBorder="1" applyAlignment="1">
      <alignment horizontal="right" vertical="center"/>
    </xf>
    <xf numFmtId="0" fontId="12" fillId="0" borderId="12" xfId="0" applyFont="1" applyBorder="1" applyAlignment="1">
      <alignment horizontal="left" vertical="center"/>
    </xf>
    <xf numFmtId="43" fontId="20" fillId="0" borderId="21" xfId="7" applyNumberFormat="1" applyFont="1" applyFill="1" applyBorder="1" applyAlignment="1">
      <alignment horizontal="right" vertical="center"/>
    </xf>
    <xf numFmtId="0" fontId="12" fillId="0" borderId="19" xfId="0" applyFont="1" applyBorder="1" applyAlignment="1">
      <alignment horizontal="left" vertical="center"/>
    </xf>
    <xf numFmtId="0" fontId="12" fillId="0" borderId="69" xfId="0" applyFont="1" applyBorder="1" applyAlignment="1">
      <alignment horizontal="left" vertical="center"/>
    </xf>
    <xf numFmtId="0" fontId="12" fillId="0" borderId="76" xfId="0" applyFont="1" applyBorder="1" applyAlignment="1">
      <alignment horizontal="left" vertical="center"/>
    </xf>
    <xf numFmtId="0" fontId="12" fillId="0" borderId="77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3" fontId="12" fillId="0" borderId="44" xfId="1" applyNumberFormat="1" applyFont="1" applyBorder="1" applyAlignment="1">
      <alignment horizontal="right" vertical="center"/>
    </xf>
    <xf numFmtId="43" fontId="20" fillId="0" borderId="77" xfId="7" applyNumberFormat="1" applyFont="1" applyFill="1" applyBorder="1" applyAlignment="1">
      <alignment horizontal="right" vertical="center"/>
    </xf>
    <xf numFmtId="0" fontId="12" fillId="0" borderId="77" xfId="0" applyFont="1" applyBorder="1" applyAlignment="1">
      <alignment vertical="center" shrinkToFit="1"/>
    </xf>
    <xf numFmtId="41" fontId="12" fillId="0" borderId="78" xfId="1" applyNumberFormat="1" applyFont="1" applyBorder="1">
      <alignment vertical="center"/>
    </xf>
    <xf numFmtId="49" fontId="12" fillId="0" borderId="42" xfId="0" applyNumberFormat="1" applyFont="1" applyBorder="1" applyAlignment="1">
      <alignment vertical="center" shrinkToFit="1"/>
    </xf>
    <xf numFmtId="0" fontId="12" fillId="0" borderId="28" xfId="0" applyFont="1" applyBorder="1" applyAlignment="1">
      <alignment horizontal="left" vertical="center"/>
    </xf>
    <xf numFmtId="41" fontId="11" fillId="0" borderId="55" xfId="1" applyNumberFormat="1" applyFont="1" applyBorder="1">
      <alignment vertical="center"/>
    </xf>
    <xf numFmtId="3" fontId="12" fillId="0" borderId="50" xfId="1" applyNumberFormat="1" applyFont="1" applyBorder="1" applyAlignment="1">
      <alignment vertical="center"/>
    </xf>
    <xf numFmtId="43" fontId="20" fillId="0" borderId="50" xfId="7" applyNumberFormat="1" applyFont="1" applyFill="1" applyBorder="1" applyAlignment="1">
      <alignment horizontal="right" vertical="center"/>
    </xf>
    <xf numFmtId="0" fontId="12" fillId="0" borderId="12" xfId="2" applyFont="1" applyBorder="1" applyAlignment="1">
      <alignment vertical="center"/>
    </xf>
    <xf numFmtId="0" fontId="12" fillId="0" borderId="17" xfId="2" applyFont="1" applyBorder="1" applyAlignment="1">
      <alignment vertical="center"/>
    </xf>
    <xf numFmtId="0" fontId="12" fillId="0" borderId="16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2" fillId="0" borderId="12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3" fontId="12" fillId="0" borderId="38" xfId="2" applyNumberFormat="1" applyFont="1" applyBorder="1">
      <alignment vertical="center"/>
    </xf>
    <xf numFmtId="3" fontId="12" fillId="0" borderId="60" xfId="2" quotePrefix="1" applyNumberFormat="1" applyFont="1" applyBorder="1" applyAlignment="1">
      <alignment horizontal="right" vertical="center"/>
    </xf>
    <xf numFmtId="3" fontId="12" fillId="0" borderId="0" xfId="2" applyNumberFormat="1" applyFont="1" applyBorder="1" applyAlignment="1">
      <alignment vertical="center"/>
    </xf>
    <xf numFmtId="3" fontId="12" fillId="0" borderId="29" xfId="2" applyNumberFormat="1" applyFont="1" applyBorder="1" applyAlignment="1">
      <alignment vertical="center"/>
    </xf>
    <xf numFmtId="176" fontId="12" fillId="0" borderId="56" xfId="1" applyNumberFormat="1" applyFont="1" applyBorder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65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43" xfId="0" applyFont="1" applyBorder="1" applyAlignment="1">
      <alignment horizontal="right" vertical="center"/>
    </xf>
    <xf numFmtId="0" fontId="0" fillId="0" borderId="43" xfId="0" applyBorder="1" applyAlignment="1">
      <alignment vertical="center"/>
    </xf>
    <xf numFmtId="0" fontId="11" fillId="0" borderId="4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3" fontId="11" fillId="0" borderId="32" xfId="0" applyNumberFormat="1" applyFont="1" applyBorder="1" applyAlignment="1">
      <alignment horizontal="center" vertical="center" wrapText="1"/>
    </xf>
    <xf numFmtId="3" fontId="11" fillId="0" borderId="34" xfId="0" applyNumberFormat="1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11" fillId="0" borderId="61" xfId="0" applyFont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12" fillId="0" borderId="3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3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3" fontId="12" fillId="0" borderId="52" xfId="2" applyNumberFormat="1" applyFont="1" applyBorder="1" applyAlignment="1">
      <alignment horizontal="left" vertical="center"/>
    </xf>
    <xf numFmtId="3" fontId="12" fillId="0" borderId="53" xfId="2" applyNumberFormat="1" applyFont="1" applyBorder="1" applyAlignment="1">
      <alignment horizontal="left" vertical="center"/>
    </xf>
    <xf numFmtId="3" fontId="12" fillId="0" borderId="57" xfId="2" applyNumberFormat="1" applyFont="1" applyBorder="1" applyAlignment="1">
      <alignment horizontal="left" vertical="center"/>
    </xf>
    <xf numFmtId="3" fontId="12" fillId="0" borderId="14" xfId="2" applyNumberFormat="1" applyFont="1" applyBorder="1" applyAlignment="1">
      <alignment horizontal="left" vertical="center"/>
    </xf>
    <xf numFmtId="3" fontId="12" fillId="0" borderId="41" xfId="2" applyNumberFormat="1" applyFont="1" applyBorder="1" applyAlignment="1">
      <alignment horizontal="left" vertical="center"/>
    </xf>
    <xf numFmtId="3" fontId="12" fillId="0" borderId="56" xfId="2" applyNumberFormat="1" applyFont="1" applyBorder="1" applyAlignment="1">
      <alignment horizontal="left" vertical="center"/>
    </xf>
    <xf numFmtId="3" fontId="12" fillId="0" borderId="52" xfId="2" applyNumberFormat="1" applyFont="1" applyBorder="1" applyAlignment="1">
      <alignment horizontal="left" vertical="center" shrinkToFit="1"/>
    </xf>
    <xf numFmtId="3" fontId="12" fillId="0" borderId="53" xfId="2" applyNumberFormat="1" applyFont="1" applyBorder="1" applyAlignment="1">
      <alignment horizontal="left" vertical="center" shrinkToFit="1"/>
    </xf>
    <xf numFmtId="3" fontId="12" fillId="0" borderId="57" xfId="2" applyNumberFormat="1" applyFont="1" applyBorder="1" applyAlignment="1">
      <alignment horizontal="left" vertical="center" shrinkToFit="1"/>
    </xf>
    <xf numFmtId="3" fontId="12" fillId="0" borderId="14" xfId="2" applyNumberFormat="1" applyFont="1" applyBorder="1" applyAlignment="1">
      <alignment horizontal="left" vertical="center" shrinkToFit="1"/>
    </xf>
    <xf numFmtId="3" fontId="12" fillId="0" borderId="41" xfId="2" applyNumberFormat="1" applyFont="1" applyBorder="1" applyAlignment="1">
      <alignment horizontal="left" vertical="center" shrinkToFit="1"/>
    </xf>
    <xf numFmtId="3" fontId="12" fillId="0" borderId="56" xfId="2" applyNumberFormat="1" applyFont="1" applyBorder="1" applyAlignment="1">
      <alignment horizontal="left" vertical="center" shrinkToFit="1"/>
    </xf>
    <xf numFmtId="0" fontId="12" fillId="0" borderId="14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2" fillId="0" borderId="69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</cellXfs>
  <cellStyles count="8">
    <cellStyle name="백분율" xfId="7" builtinId="5"/>
    <cellStyle name="쉼표 [0]" xfId="1" builtinId="6"/>
    <cellStyle name="쉼표 [0] 2" xfId="3" xr:uid="{00000000-0005-0000-0000-000002000000}"/>
    <cellStyle name="쉼표 [0] 3" xfId="4" xr:uid="{00000000-0005-0000-0000-000003000000}"/>
    <cellStyle name="표준" xfId="0" builtinId="0"/>
    <cellStyle name="표준 2" xfId="2" xr:uid="{00000000-0005-0000-0000-000005000000}"/>
    <cellStyle name="표준 3" xfId="5" xr:uid="{00000000-0005-0000-0000-000006000000}"/>
    <cellStyle name="표준 4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8277;&#51064;\&#52280;&#51339;&#51008;&#44592;&#50613;&#54617;&#44368;\2018&#45380;\1&#52264;&#52628;&#44221;\&#48148;&#53461;&#54868;&#47732;\&#52280;&#51339;&#51008;&#44592;&#50613;&#54617;&#44368;)%2017&#45380;%202&#52264;%20&#52628;&#44221;%20&#48143;%2018&#45380;%20&#49324;&#50629;&#44228;&#54925;\&#52280;&#51339;&#51008;&#44592;&#50613;&#54617;&#44368;)%202018&#45380;&#46020;%20&#48376;&#50696;&#4932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8277;&#51064;\&#52280;&#51339;&#51008;&#44592;&#50613;&#54617;&#44368;\2018&#45380;\1&#52264;&#52628;&#44221;\&#48148;&#53461;&#54868;&#47732;\&#52280;&#51339;&#51008;&#44592;&#50613;&#54617;&#44368;)%2017&#45380;%202&#52264;%20&#52628;&#44221;%20&#48143;%2018&#45380;%20&#49324;&#50629;&#44228;&#54925;\&#52280;&#51339;&#51008;&#44592;&#50613;&#54617;&#44368;)%202017&#45380;%202&#52264;%20&#52628;&#44221;%20&#50696;&#493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총칙"/>
      <sheetName val="총괄"/>
      <sheetName val="세입"/>
      <sheetName val="세출"/>
      <sheetName val="본예산 변경 사유서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입소자부담금수입</v>
          </cell>
        </row>
        <row r="8">
          <cell r="C8" t="str">
            <v>입소비용수입</v>
          </cell>
        </row>
        <row r="9">
          <cell r="D9" t="str">
            <v>입소비용수입</v>
          </cell>
        </row>
      </sheetData>
      <sheetData sheetId="4" refreshError="1">
        <row r="8">
          <cell r="B8" t="str">
            <v>사무비</v>
          </cell>
        </row>
        <row r="9">
          <cell r="C9" t="str">
            <v>인건비</v>
          </cell>
        </row>
        <row r="10">
          <cell r="D10" t="str">
            <v>급여</v>
          </cell>
        </row>
        <row r="27">
          <cell r="D27" t="str">
            <v>제수당</v>
          </cell>
        </row>
        <row r="42">
          <cell r="D42" t="str">
            <v>퇴직금및퇴직적립금</v>
          </cell>
        </row>
        <row r="67">
          <cell r="D67" t="str">
            <v>제세공과금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총칙"/>
      <sheetName val="총괄"/>
      <sheetName val="세입"/>
      <sheetName val="세출"/>
      <sheetName val="결산추경 사유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9">
          <cell r="D39" t="str">
            <v>사회보험부담금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view="pageBreakPreview" zoomScale="60" zoomScaleNormal="100" workbookViewId="0">
      <selection activeCell="A7" sqref="A7"/>
    </sheetView>
  </sheetViews>
  <sheetFormatPr defaultRowHeight="13.5" x14ac:dyDescent="0.15"/>
  <cols>
    <col min="1" max="1" width="121.44140625" style="40" customWidth="1"/>
    <col min="2" max="16384" width="8.88671875" style="40"/>
  </cols>
  <sheetData>
    <row r="1" spans="1:1" ht="84.75" customHeight="1" x14ac:dyDescent="0.15">
      <c r="A1" s="1"/>
    </row>
    <row r="2" spans="1:1" ht="30" customHeight="1" x14ac:dyDescent="0.15">
      <c r="A2" s="56" t="s">
        <v>193</v>
      </c>
    </row>
    <row r="3" spans="1:1" ht="30" customHeight="1" x14ac:dyDescent="0.4">
      <c r="A3" s="57" t="s">
        <v>137</v>
      </c>
    </row>
    <row r="4" spans="1:1" ht="30" customHeight="1" x14ac:dyDescent="0.15">
      <c r="A4" s="1"/>
    </row>
    <row r="5" spans="1:1" ht="30" customHeight="1" x14ac:dyDescent="0.15">
      <c r="A5" s="1"/>
    </row>
    <row r="6" spans="1:1" ht="231" customHeight="1" x14ac:dyDescent="0.3">
      <c r="A6" s="12" t="s">
        <v>234</v>
      </c>
    </row>
    <row r="7" spans="1:1" ht="217.5" customHeight="1" x14ac:dyDescent="0.15">
      <c r="A7" s="1"/>
    </row>
    <row r="8" spans="1:1" ht="30" customHeight="1" x14ac:dyDescent="0.15">
      <c r="A8" s="2" t="s">
        <v>0</v>
      </c>
    </row>
    <row r="9" spans="1:1" ht="30" customHeight="1" x14ac:dyDescent="0.15">
      <c r="A9" s="3" t="s">
        <v>76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80" firstPageNumber="183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"/>
  <sheetViews>
    <sheetView view="pageBreakPreview" zoomScaleNormal="100" zoomScaleSheetLayoutView="100" workbookViewId="0">
      <selection activeCell="A6" sqref="A6"/>
    </sheetView>
  </sheetViews>
  <sheetFormatPr defaultRowHeight="13.5" x14ac:dyDescent="0.15"/>
  <cols>
    <col min="1" max="1" width="79.6640625" style="40" customWidth="1"/>
    <col min="2" max="16384" width="8.88671875" style="40"/>
  </cols>
  <sheetData>
    <row r="1" spans="1:1" ht="30" customHeight="1" x14ac:dyDescent="0.3">
      <c r="A1" s="58" t="s">
        <v>11</v>
      </c>
    </row>
    <row r="2" spans="1:1" ht="30" customHeight="1" x14ac:dyDescent="0.15">
      <c r="A2" s="59"/>
    </row>
    <row r="3" spans="1:1" ht="30" customHeight="1" x14ac:dyDescent="0.15">
      <c r="A3" s="60" t="s">
        <v>194</v>
      </c>
    </row>
    <row r="4" spans="1:1" ht="30" customHeight="1" x14ac:dyDescent="0.15">
      <c r="A4" s="60"/>
    </row>
    <row r="5" spans="1:1" ht="30" customHeight="1" x14ac:dyDescent="0.15">
      <c r="A5" s="60" t="s">
        <v>280</v>
      </c>
    </row>
    <row r="6" spans="1:1" ht="30" customHeight="1" x14ac:dyDescent="0.15">
      <c r="A6" s="60"/>
    </row>
    <row r="7" spans="1:1" ht="30" customHeight="1" x14ac:dyDescent="0.15">
      <c r="A7" s="60" t="s">
        <v>12</v>
      </c>
    </row>
    <row r="8" spans="1:1" ht="30" customHeight="1" x14ac:dyDescent="0.15">
      <c r="A8" s="60"/>
    </row>
    <row r="9" spans="1:1" ht="30" customHeight="1" x14ac:dyDescent="0.15">
      <c r="A9" s="141" t="s">
        <v>103</v>
      </c>
    </row>
    <row r="10" spans="1:1" ht="30" customHeight="1" x14ac:dyDescent="0.15">
      <c r="A10" s="60"/>
    </row>
    <row r="11" spans="1:1" ht="30" customHeight="1" x14ac:dyDescent="0.15">
      <c r="A11" s="145" t="s">
        <v>113</v>
      </c>
    </row>
    <row r="12" spans="1:1" ht="30" customHeight="1" x14ac:dyDescent="0.15">
      <c r="A12" s="145" t="s">
        <v>114</v>
      </c>
    </row>
    <row r="13" spans="1:1" ht="30" customHeight="1" x14ac:dyDescent="0.15">
      <c r="A13" s="145"/>
    </row>
    <row r="14" spans="1:1" ht="30" customHeight="1" x14ac:dyDescent="0.15">
      <c r="A14" s="145" t="s">
        <v>98</v>
      </c>
    </row>
    <row r="15" spans="1:1" ht="30" customHeight="1" x14ac:dyDescent="0.15">
      <c r="A15" s="145" t="s">
        <v>104</v>
      </c>
    </row>
    <row r="16" spans="1:1" ht="30" customHeight="1" x14ac:dyDescent="0.15">
      <c r="A16" s="145"/>
    </row>
    <row r="17" spans="1:1" ht="30" customHeight="1" x14ac:dyDescent="0.15">
      <c r="A17" s="145" t="s">
        <v>115</v>
      </c>
    </row>
    <row r="18" spans="1:1" ht="30" customHeight="1" x14ac:dyDescent="0.15">
      <c r="A18" s="145" t="s">
        <v>99</v>
      </c>
    </row>
    <row r="19" spans="1:1" ht="14.25" x14ac:dyDescent="0.15">
      <c r="A19" s="59"/>
    </row>
    <row r="20" spans="1:1" ht="14.25" x14ac:dyDescent="0.15">
      <c r="A20" s="59"/>
    </row>
    <row r="21" spans="1:1" ht="20.25" x14ac:dyDescent="0.25">
      <c r="A21" s="61"/>
    </row>
  </sheetData>
  <phoneticPr fontId="2" type="noConversion"/>
  <pageMargins left="0.94488188976377963" right="0.74803149606299213" top="0.98425196850393704" bottom="0.98425196850393704" header="0.51181102362204722" footer="0.51181102362204722"/>
  <pageSetup paperSize="9" scale="80" firstPageNumber="183" orientation="portrait" useFirstPageNumber="1" r:id="rId1"/>
  <headerFooter alignWithMargins="0">
    <oddFooter xml:space="preserve">&amp;R참좋은 기억학교(2021.11.30)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"/>
  <sheetViews>
    <sheetView view="pageBreakPreview" zoomScaleNormal="100" zoomScaleSheetLayoutView="100" workbookViewId="0">
      <selection activeCell="D9" sqref="D9"/>
    </sheetView>
  </sheetViews>
  <sheetFormatPr defaultRowHeight="13.5" x14ac:dyDescent="0.15"/>
  <cols>
    <col min="1" max="1" width="14.88671875" style="11" customWidth="1"/>
    <col min="2" max="2" width="15.88671875" style="11" customWidth="1"/>
    <col min="3" max="5" width="13.77734375" style="11" customWidth="1"/>
  </cols>
  <sheetData>
    <row r="1" spans="1:5" ht="39" customHeight="1" x14ac:dyDescent="0.15">
      <c r="A1" s="242" t="s">
        <v>195</v>
      </c>
      <c r="B1" s="242"/>
      <c r="C1" s="242"/>
      <c r="D1" s="242"/>
      <c r="E1" s="242"/>
    </row>
    <row r="2" spans="1:5" ht="18" customHeight="1" x14ac:dyDescent="0.15">
      <c r="A2" s="4"/>
      <c r="B2" s="4"/>
      <c r="C2" s="4"/>
      <c r="D2" s="4"/>
      <c r="E2" s="38" t="s">
        <v>86</v>
      </c>
    </row>
    <row r="3" spans="1:5" ht="21" customHeight="1" x14ac:dyDescent="0.15">
      <c r="A3" s="243" t="s">
        <v>1</v>
      </c>
      <c r="B3" s="244"/>
      <c r="C3" s="244"/>
      <c r="D3" s="244"/>
      <c r="E3" s="245"/>
    </row>
    <row r="4" spans="1:5" ht="21" customHeight="1" thickBot="1" x14ac:dyDescent="0.2">
      <c r="A4" s="13" t="s">
        <v>2</v>
      </c>
      <c r="B4" s="14" t="s">
        <v>3</v>
      </c>
      <c r="C4" s="102" t="s">
        <v>138</v>
      </c>
      <c r="D4" s="103" t="s">
        <v>196</v>
      </c>
      <c r="E4" s="15" t="s">
        <v>4</v>
      </c>
    </row>
    <row r="5" spans="1:5" ht="21" customHeight="1" thickTop="1" x14ac:dyDescent="0.15">
      <c r="A5" s="246" t="s">
        <v>5</v>
      </c>
      <c r="B5" s="247"/>
      <c r="C5" s="16">
        <f>C6+C7+C8+C9+C10+C11</f>
        <v>380163000</v>
      </c>
      <c r="D5" s="16">
        <f>D6+D7+D8+D9+D10+D11</f>
        <v>418713000</v>
      </c>
      <c r="E5" s="17">
        <f>E6+E7+E8+E9+E10+E11</f>
        <v>38550000</v>
      </c>
    </row>
    <row r="6" spans="1:5" ht="21" customHeight="1" x14ac:dyDescent="0.15">
      <c r="A6" s="80" t="s">
        <v>77</v>
      </c>
      <c r="B6" s="18" t="s">
        <v>78</v>
      </c>
      <c r="C6" s="19">
        <f>'최초예산내역-세입'!D9</f>
        <v>42419000</v>
      </c>
      <c r="D6" s="19">
        <f>'최초예산내역-세입'!E8</f>
        <v>46930000</v>
      </c>
      <c r="E6" s="20">
        <f t="shared" ref="E6:E11" si="0">D6-C6</f>
        <v>4511000</v>
      </c>
    </row>
    <row r="7" spans="1:5" ht="21" customHeight="1" x14ac:dyDescent="0.15">
      <c r="A7" s="21" t="s">
        <v>79</v>
      </c>
      <c r="B7" s="18" t="s">
        <v>80</v>
      </c>
      <c r="C7" s="19">
        <f>'최초예산내역-세입'!D12</f>
        <v>328188450</v>
      </c>
      <c r="D7" s="19">
        <f>'최초예산내역-세입'!E12</f>
        <v>358352900</v>
      </c>
      <c r="E7" s="20">
        <f t="shared" si="0"/>
        <v>30164450</v>
      </c>
    </row>
    <row r="8" spans="1:5" ht="21" customHeight="1" x14ac:dyDescent="0.15">
      <c r="A8" s="81" t="s">
        <v>82</v>
      </c>
      <c r="B8" s="18" t="s">
        <v>81</v>
      </c>
      <c r="C8" s="19">
        <v>0</v>
      </c>
      <c r="D8" s="19">
        <v>0</v>
      </c>
      <c r="E8" s="20">
        <f t="shared" si="0"/>
        <v>0</v>
      </c>
    </row>
    <row r="9" spans="1:5" ht="21" customHeight="1" x14ac:dyDescent="0.15">
      <c r="A9" s="21" t="s">
        <v>83</v>
      </c>
      <c r="B9" s="18" t="s">
        <v>83</v>
      </c>
      <c r="C9" s="19">
        <v>0</v>
      </c>
      <c r="D9" s="19">
        <v>0</v>
      </c>
      <c r="E9" s="20">
        <f t="shared" si="0"/>
        <v>0</v>
      </c>
    </row>
    <row r="10" spans="1:5" ht="21" customHeight="1" x14ac:dyDescent="0.15">
      <c r="A10" s="22" t="s">
        <v>84</v>
      </c>
      <c r="B10" s="23" t="s">
        <v>84</v>
      </c>
      <c r="C10" s="24">
        <f>'최초예산내역-세입'!D26</f>
        <v>3708070</v>
      </c>
      <c r="D10" s="24">
        <f>'최초예산내역-세입'!E26</f>
        <v>4430100</v>
      </c>
      <c r="E10" s="25">
        <f t="shared" si="0"/>
        <v>722030</v>
      </c>
    </row>
    <row r="11" spans="1:5" ht="21" customHeight="1" x14ac:dyDescent="0.15">
      <c r="A11" s="26" t="s">
        <v>85</v>
      </c>
      <c r="B11" s="27" t="s">
        <v>85</v>
      </c>
      <c r="C11" s="28">
        <f>'최초예산내역-세입'!D33</f>
        <v>5847480</v>
      </c>
      <c r="D11" s="28">
        <f>'최초예산내역-세입'!E33</f>
        <v>9000000</v>
      </c>
      <c r="E11" s="29">
        <f t="shared" si="0"/>
        <v>3152520</v>
      </c>
    </row>
    <row r="12" spans="1:5" ht="21" customHeight="1" x14ac:dyDescent="0.15">
      <c r="A12" s="5"/>
      <c r="B12" s="5"/>
      <c r="C12" s="6"/>
      <c r="D12" s="7"/>
      <c r="E12" s="8"/>
    </row>
    <row r="13" spans="1:5" ht="21" customHeight="1" x14ac:dyDescent="0.15">
      <c r="A13" s="9"/>
      <c r="B13" s="9"/>
      <c r="C13" s="9"/>
      <c r="D13" s="9"/>
      <c r="E13" s="37" t="s">
        <v>86</v>
      </c>
    </row>
    <row r="14" spans="1:5" ht="21" customHeight="1" x14ac:dyDescent="0.15">
      <c r="A14" s="243" t="s">
        <v>6</v>
      </c>
      <c r="B14" s="244"/>
      <c r="C14" s="244"/>
      <c r="D14" s="244"/>
      <c r="E14" s="245"/>
    </row>
    <row r="15" spans="1:5" ht="21" customHeight="1" thickBot="1" x14ac:dyDescent="0.2">
      <c r="A15" s="13" t="s">
        <v>7</v>
      </c>
      <c r="B15" s="14" t="s">
        <v>8</v>
      </c>
      <c r="C15" s="102" t="s">
        <v>138</v>
      </c>
      <c r="D15" s="103" t="s">
        <v>196</v>
      </c>
      <c r="E15" s="15" t="s">
        <v>9</v>
      </c>
    </row>
    <row r="16" spans="1:5" ht="21" customHeight="1" thickTop="1" x14ac:dyDescent="0.15">
      <c r="A16" s="30" t="s">
        <v>10</v>
      </c>
      <c r="B16" s="31"/>
      <c r="C16" s="16">
        <f>SUM(C17:C24)</f>
        <v>380163000</v>
      </c>
      <c r="D16" s="16">
        <f>SUM(D17:D24)</f>
        <v>418713000.46127665</v>
      </c>
      <c r="E16" s="32">
        <f t="shared" ref="E16:E24" si="1">D16-C16</f>
        <v>38550000.46127665</v>
      </c>
    </row>
    <row r="17" spans="1:5" ht="21" customHeight="1" x14ac:dyDescent="0.15">
      <c r="A17" s="239" t="s">
        <v>87</v>
      </c>
      <c r="B17" s="33" t="s">
        <v>88</v>
      </c>
      <c r="C17" s="34">
        <f>'최초예산내역-세출'!D8</f>
        <v>310812530</v>
      </c>
      <c r="D17" s="34">
        <f>'최초예산내역-세출'!E8</f>
        <v>340270625.46127665</v>
      </c>
      <c r="E17" s="83">
        <f t="shared" si="1"/>
        <v>29458095.46127665</v>
      </c>
    </row>
    <row r="18" spans="1:5" ht="21" customHeight="1" x14ac:dyDescent="0.15">
      <c r="A18" s="240"/>
      <c r="B18" s="18" t="s">
        <v>90</v>
      </c>
      <c r="C18" s="35">
        <f>'최초예산내역-세출'!D49</f>
        <v>200000</v>
      </c>
      <c r="D18" s="35">
        <f>'최초예산내역-세출'!E49</f>
        <v>1000000</v>
      </c>
      <c r="E18" s="84">
        <f t="shared" si="1"/>
        <v>800000</v>
      </c>
    </row>
    <row r="19" spans="1:5" ht="21" customHeight="1" x14ac:dyDescent="0.15">
      <c r="A19" s="241"/>
      <c r="B19" s="18" t="s">
        <v>89</v>
      </c>
      <c r="C19" s="35">
        <f>'최초예산내역-세출'!D54</f>
        <v>37225600</v>
      </c>
      <c r="D19" s="35">
        <f>'최초예산내역-세출'!E54</f>
        <v>41310000</v>
      </c>
      <c r="E19" s="84">
        <f t="shared" si="1"/>
        <v>4084400</v>
      </c>
    </row>
    <row r="20" spans="1:5" ht="21" customHeight="1" x14ac:dyDescent="0.15">
      <c r="A20" s="21" t="s">
        <v>91</v>
      </c>
      <c r="B20" s="18" t="s">
        <v>92</v>
      </c>
      <c r="C20" s="35">
        <f>'최초예산내역-세출'!D80</f>
        <v>6283826</v>
      </c>
      <c r="D20" s="35">
        <f>'최초예산내역-세출'!E79</f>
        <v>6665196</v>
      </c>
      <c r="E20" s="84">
        <f t="shared" si="1"/>
        <v>381370</v>
      </c>
    </row>
    <row r="21" spans="1:5" ht="21" customHeight="1" x14ac:dyDescent="0.15">
      <c r="A21" s="239" t="s">
        <v>93</v>
      </c>
      <c r="B21" s="18" t="s">
        <v>89</v>
      </c>
      <c r="C21" s="35">
        <f>'최초예산내역-세출'!D89</f>
        <v>14858000</v>
      </c>
      <c r="D21" s="35">
        <f>'최초예산내역-세출'!E89</f>
        <v>15958000</v>
      </c>
      <c r="E21" s="84">
        <f t="shared" si="1"/>
        <v>1100000</v>
      </c>
    </row>
    <row r="22" spans="1:5" ht="21" customHeight="1" x14ac:dyDescent="0.15">
      <c r="A22" s="240"/>
      <c r="B22" s="18" t="s">
        <v>93</v>
      </c>
      <c r="C22" s="35">
        <f>'최초예산내역-세출'!D94</f>
        <v>6730000</v>
      </c>
      <c r="D22" s="35">
        <f>'최초예산내역-세출'!E94</f>
        <v>10090000</v>
      </c>
      <c r="E22" s="84">
        <f t="shared" si="1"/>
        <v>3360000</v>
      </c>
    </row>
    <row r="23" spans="1:5" ht="21" customHeight="1" x14ac:dyDescent="0.15">
      <c r="A23" s="241"/>
      <c r="B23" s="18" t="s">
        <v>95</v>
      </c>
      <c r="C23" s="35">
        <f>'최초예산내역-세출'!D126</f>
        <v>3799000</v>
      </c>
      <c r="D23" s="35">
        <f>'최초예산내역-세출'!E126</f>
        <v>3299000</v>
      </c>
      <c r="E23" s="84">
        <f t="shared" si="1"/>
        <v>-500000</v>
      </c>
    </row>
    <row r="24" spans="1:5" ht="21" customHeight="1" x14ac:dyDescent="0.15">
      <c r="A24" s="26" t="s">
        <v>94</v>
      </c>
      <c r="B24" s="27" t="s">
        <v>94</v>
      </c>
      <c r="C24" s="36">
        <f>'최초예산내역-세출'!D140</f>
        <v>254044</v>
      </c>
      <c r="D24" s="36">
        <f>'최초예산내역-세출'!E139</f>
        <v>120179</v>
      </c>
      <c r="E24" s="39">
        <f t="shared" si="1"/>
        <v>-133865</v>
      </c>
    </row>
    <row r="25" spans="1:5" x14ac:dyDescent="0.15">
      <c r="A25" s="10"/>
      <c r="B25" s="10"/>
    </row>
  </sheetData>
  <mergeCells count="6">
    <mergeCell ref="A17:A19"/>
    <mergeCell ref="A21:A23"/>
    <mergeCell ref="A1:E1"/>
    <mergeCell ref="A3:E3"/>
    <mergeCell ref="A5:B5"/>
    <mergeCell ref="A14:E14"/>
  </mergeCells>
  <phoneticPr fontId="2" type="noConversion"/>
  <pageMargins left="0.78740157480314965" right="0.74803149606299213" top="0.98425196850393704" bottom="0.98425196850393704" header="0.51181102362204722" footer="0.51181102362204722"/>
  <pageSetup paperSize="9" firstPageNumber="185" orientation="portrait" useFirstPageNumber="1" r:id="rId1"/>
  <headerFooter alignWithMargins="0">
    <oddFooter>&amp;R참좋은기억학교(2021.11.30)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76988-6C48-4CE1-A165-0BCC03F39710}">
  <dimension ref="A1:I35"/>
  <sheetViews>
    <sheetView view="pageBreakPreview" zoomScaleNormal="100" zoomScaleSheetLayoutView="100" workbookViewId="0">
      <selection activeCell="F33" sqref="F33"/>
    </sheetView>
  </sheetViews>
  <sheetFormatPr defaultRowHeight="13.5" x14ac:dyDescent="0.15"/>
  <cols>
    <col min="1" max="1" width="9.44140625" style="40" customWidth="1"/>
    <col min="2" max="2" width="10.21875" style="40" customWidth="1"/>
    <col min="3" max="3" width="12.6640625" style="40" customWidth="1"/>
    <col min="4" max="4" width="12.6640625" style="139" customWidth="1"/>
    <col min="5" max="5" width="13" style="139" customWidth="1"/>
    <col min="6" max="6" width="11.77734375" style="139" customWidth="1"/>
    <col min="7" max="7" width="10.109375" style="82" customWidth="1"/>
    <col min="8" max="8" width="40.33203125" style="40" customWidth="1"/>
    <col min="9" max="9" width="13.21875" style="184" bestFit="1" customWidth="1"/>
    <col min="10" max="10" width="11.44140625" style="40" bestFit="1" customWidth="1"/>
    <col min="11" max="11" width="12.44140625" style="40" bestFit="1" customWidth="1"/>
    <col min="12" max="16384" width="8.88671875" style="40"/>
  </cols>
  <sheetData>
    <row r="1" spans="1:9" ht="20.100000000000001" customHeight="1" x14ac:dyDescent="0.15">
      <c r="A1" s="251" t="s">
        <v>197</v>
      </c>
      <c r="B1" s="251"/>
      <c r="C1" s="251"/>
      <c r="D1" s="251"/>
      <c r="E1" s="251"/>
      <c r="F1" s="251"/>
      <c r="G1" s="251"/>
      <c r="H1" s="251"/>
    </row>
    <row r="2" spans="1:9" ht="20.100000000000001" customHeight="1" x14ac:dyDescent="0.15">
      <c r="A2" s="160"/>
      <c r="B2" s="160"/>
      <c r="C2" s="160"/>
      <c r="D2" s="182"/>
      <c r="E2" s="182"/>
      <c r="F2" s="182"/>
      <c r="G2" s="160"/>
      <c r="H2" s="160"/>
    </row>
    <row r="3" spans="1:9" ht="20.100000000000001" customHeight="1" x14ac:dyDescent="0.15">
      <c r="A3" s="252" t="s">
        <v>181</v>
      </c>
      <c r="B3" s="253"/>
      <c r="C3" s="253"/>
      <c r="H3" s="254" t="s">
        <v>13</v>
      </c>
      <c r="I3" s="255"/>
    </row>
    <row r="4" spans="1:9" ht="20.100000000000001" customHeight="1" x14ac:dyDescent="0.15">
      <c r="A4" s="256" t="s">
        <v>14</v>
      </c>
      <c r="B4" s="257"/>
      <c r="C4" s="244"/>
      <c r="D4" s="258" t="s">
        <v>138</v>
      </c>
      <c r="E4" s="258" t="s">
        <v>236</v>
      </c>
      <c r="F4" s="260" t="s">
        <v>4</v>
      </c>
      <c r="G4" s="260"/>
      <c r="H4" s="261" t="s">
        <v>15</v>
      </c>
      <c r="I4" s="262"/>
    </row>
    <row r="5" spans="1:9" ht="20.100000000000001" customHeight="1" thickBot="1" x14ac:dyDescent="0.2">
      <c r="A5" s="13" t="s">
        <v>16</v>
      </c>
      <c r="B5" s="41" t="s">
        <v>17</v>
      </c>
      <c r="C5" s="41" t="s">
        <v>18</v>
      </c>
      <c r="D5" s="259"/>
      <c r="E5" s="259"/>
      <c r="F5" s="183" t="s">
        <v>19</v>
      </c>
      <c r="G5" s="117" t="s">
        <v>20</v>
      </c>
      <c r="H5" s="263"/>
      <c r="I5" s="264"/>
    </row>
    <row r="6" spans="1:9" ht="20.100000000000001" customHeight="1" thickTop="1" x14ac:dyDescent="0.15">
      <c r="A6" s="246" t="s">
        <v>21</v>
      </c>
      <c r="B6" s="265"/>
      <c r="C6" s="266"/>
      <c r="D6" s="42">
        <f>D7+D11+D18+D22+D25+D32</f>
        <v>380163000</v>
      </c>
      <c r="E6" s="42">
        <f>E7+E11+E18+E22+E25+E32</f>
        <v>418713000</v>
      </c>
      <c r="F6" s="42">
        <f>E6-D6</f>
        <v>38550000</v>
      </c>
      <c r="G6" s="121">
        <f>E6/D6*100</f>
        <v>110.14038714972263</v>
      </c>
      <c r="H6" s="113"/>
      <c r="I6" s="185"/>
    </row>
    <row r="7" spans="1:9" ht="20.100000000000001" customHeight="1" x14ac:dyDescent="0.15">
      <c r="A7" s="248" t="s">
        <v>31</v>
      </c>
      <c r="B7" s="249"/>
      <c r="C7" s="250"/>
      <c r="D7" s="48">
        <f>D8</f>
        <v>42419000</v>
      </c>
      <c r="E7" s="48">
        <f>E8</f>
        <v>46930000</v>
      </c>
      <c r="F7" s="42">
        <f t="shared" ref="F7:F34" si="0">E7-D7</f>
        <v>4511000</v>
      </c>
      <c r="G7" s="121">
        <f>E7/D7*100</f>
        <v>110.63438553478395</v>
      </c>
      <c r="H7" s="114" t="s">
        <v>32</v>
      </c>
      <c r="I7" s="186"/>
    </row>
    <row r="8" spans="1:9" ht="20.100000000000001" customHeight="1" x14ac:dyDescent="0.15">
      <c r="A8" s="240"/>
      <c r="B8" s="267" t="s">
        <v>32</v>
      </c>
      <c r="C8" s="250"/>
      <c r="D8" s="43">
        <f>D9</f>
        <v>42419000</v>
      </c>
      <c r="E8" s="43">
        <f>E9</f>
        <v>46930000</v>
      </c>
      <c r="F8" s="55">
        <f t="shared" si="0"/>
        <v>4511000</v>
      </c>
      <c r="G8" s="122">
        <f t="shared" ref="G8:G34" si="1">E8/D8*100</f>
        <v>110.63438553478395</v>
      </c>
      <c r="H8" s="114" t="s">
        <v>32</v>
      </c>
      <c r="I8" s="186"/>
    </row>
    <row r="9" spans="1:9" ht="20.100000000000001" customHeight="1" x14ac:dyDescent="0.15">
      <c r="A9" s="240"/>
      <c r="B9" s="268"/>
      <c r="C9" s="46" t="s">
        <v>32</v>
      </c>
      <c r="D9" s="70">
        <v>42419000</v>
      </c>
      <c r="E9" s="70">
        <f>I10</f>
        <v>46930000</v>
      </c>
      <c r="F9" s="49">
        <f t="shared" si="0"/>
        <v>4511000</v>
      </c>
      <c r="G9" s="124">
        <f t="shared" si="1"/>
        <v>110.63438553478395</v>
      </c>
      <c r="H9" s="115" t="s">
        <v>32</v>
      </c>
      <c r="I9" s="187"/>
    </row>
    <row r="10" spans="1:9" ht="20.100000000000001" customHeight="1" x14ac:dyDescent="0.15">
      <c r="A10" s="240"/>
      <c r="B10" s="268"/>
      <c r="C10" s="68"/>
      <c r="D10" s="71"/>
      <c r="E10" s="71"/>
      <c r="F10" s="72"/>
      <c r="G10" s="134"/>
      <c r="H10" s="116" t="s">
        <v>235</v>
      </c>
      <c r="I10" s="188">
        <f>10000*19*247</f>
        <v>46930000</v>
      </c>
    </row>
    <row r="11" spans="1:9" ht="20.100000000000001" customHeight="1" x14ac:dyDescent="0.15">
      <c r="A11" s="248" t="s">
        <v>33</v>
      </c>
      <c r="B11" s="249"/>
      <c r="C11" s="250"/>
      <c r="D11" s="47">
        <f>D12</f>
        <v>328188450</v>
      </c>
      <c r="E11" s="47">
        <f>E12</f>
        <v>358352900</v>
      </c>
      <c r="F11" s="48">
        <f t="shared" si="0"/>
        <v>30164450</v>
      </c>
      <c r="G11" s="123">
        <f t="shared" si="1"/>
        <v>109.19119792302259</v>
      </c>
      <c r="H11" s="114" t="s">
        <v>33</v>
      </c>
      <c r="I11" s="186"/>
    </row>
    <row r="12" spans="1:9" ht="20.100000000000001" customHeight="1" x14ac:dyDescent="0.15">
      <c r="A12" s="64"/>
      <c r="B12" s="267" t="s">
        <v>33</v>
      </c>
      <c r="C12" s="250"/>
      <c r="D12" s="70">
        <f>SUM(D13:D18)</f>
        <v>328188450</v>
      </c>
      <c r="E12" s="70">
        <f>SUM(E13:E18)</f>
        <v>358352900</v>
      </c>
      <c r="F12" s="55">
        <f t="shared" si="0"/>
        <v>30164450</v>
      </c>
      <c r="G12" s="122">
        <f t="shared" si="1"/>
        <v>109.19119792302259</v>
      </c>
      <c r="H12" s="114" t="s">
        <v>40</v>
      </c>
      <c r="I12" s="186"/>
    </row>
    <row r="13" spans="1:9" ht="20.100000000000001" customHeight="1" x14ac:dyDescent="0.15">
      <c r="A13" s="64"/>
      <c r="B13" s="159"/>
      <c r="C13" s="69" t="s">
        <v>152</v>
      </c>
      <c r="D13" s="45">
        <v>0</v>
      </c>
      <c r="E13" s="45">
        <v>0</v>
      </c>
      <c r="F13" s="43">
        <f t="shared" si="0"/>
        <v>0</v>
      </c>
      <c r="G13" s="122">
        <v>0</v>
      </c>
      <c r="H13" s="114" t="s">
        <v>147</v>
      </c>
      <c r="I13" s="238">
        <v>0</v>
      </c>
    </row>
    <row r="14" spans="1:9" ht="20.100000000000001" customHeight="1" x14ac:dyDescent="0.15">
      <c r="A14" s="64"/>
      <c r="B14" s="159"/>
      <c r="C14" s="46" t="s">
        <v>153</v>
      </c>
      <c r="D14" s="70">
        <v>0</v>
      </c>
      <c r="E14" s="70">
        <v>0</v>
      </c>
      <c r="F14" s="49">
        <f t="shared" si="0"/>
        <v>0</v>
      </c>
      <c r="G14" s="122">
        <v>0</v>
      </c>
      <c r="H14" s="114" t="s">
        <v>148</v>
      </c>
      <c r="I14" s="238">
        <v>0</v>
      </c>
    </row>
    <row r="15" spans="1:9" ht="20.100000000000001" customHeight="1" x14ac:dyDescent="0.15">
      <c r="A15" s="64"/>
      <c r="B15" s="159"/>
      <c r="C15" s="46" t="s">
        <v>154</v>
      </c>
      <c r="D15" s="24">
        <v>328188450</v>
      </c>
      <c r="E15" s="70">
        <f>I16+I17</f>
        <v>358352900</v>
      </c>
      <c r="F15" s="49">
        <f t="shared" si="0"/>
        <v>30164450</v>
      </c>
      <c r="G15" s="142">
        <f t="shared" si="1"/>
        <v>109.19119792302259</v>
      </c>
      <c r="H15" s="115" t="s">
        <v>146</v>
      </c>
      <c r="I15" s="187"/>
    </row>
    <row r="16" spans="1:9" ht="20.100000000000001" customHeight="1" x14ac:dyDescent="0.15">
      <c r="A16" s="64"/>
      <c r="B16" s="159"/>
      <c r="C16" s="68"/>
      <c r="D16" s="161"/>
      <c r="E16" s="71"/>
      <c r="F16" s="72"/>
      <c r="G16" s="135"/>
      <c r="H16" s="116" t="s">
        <v>232</v>
      </c>
      <c r="I16" s="188">
        <f>84588225*4</f>
        <v>338352900</v>
      </c>
    </row>
    <row r="17" spans="1:9" ht="20.100000000000001" customHeight="1" x14ac:dyDescent="0.15">
      <c r="A17" s="64"/>
      <c r="B17" s="159"/>
      <c r="C17" s="68"/>
      <c r="D17" s="161"/>
      <c r="E17" s="71"/>
      <c r="F17" s="72"/>
      <c r="G17" s="142"/>
      <c r="H17" s="113" t="s">
        <v>149</v>
      </c>
      <c r="I17" s="189">
        <f>5000000*4</f>
        <v>20000000</v>
      </c>
    </row>
    <row r="18" spans="1:9" ht="20.100000000000001" customHeight="1" x14ac:dyDescent="0.15">
      <c r="A18" s="248" t="s">
        <v>34</v>
      </c>
      <c r="B18" s="249"/>
      <c r="C18" s="250"/>
      <c r="D18" s="47">
        <v>0</v>
      </c>
      <c r="E18" s="47">
        <v>0</v>
      </c>
      <c r="F18" s="48">
        <f t="shared" ref="F18:F29" si="2">E18-D18</f>
        <v>0</v>
      </c>
      <c r="G18" s="123">
        <v>0</v>
      </c>
      <c r="H18" s="114" t="s">
        <v>34</v>
      </c>
      <c r="I18" s="186"/>
    </row>
    <row r="19" spans="1:9" ht="20.100000000000001" customHeight="1" x14ac:dyDescent="0.15">
      <c r="A19" s="64"/>
      <c r="B19" s="267" t="s">
        <v>34</v>
      </c>
      <c r="C19" s="250"/>
      <c r="D19" s="45">
        <v>0</v>
      </c>
      <c r="E19" s="45">
        <v>0</v>
      </c>
      <c r="F19" s="55">
        <f t="shared" si="2"/>
        <v>0</v>
      </c>
      <c r="G19" s="122">
        <v>0</v>
      </c>
      <c r="H19" s="114" t="s">
        <v>34</v>
      </c>
      <c r="I19" s="186"/>
    </row>
    <row r="20" spans="1:9" ht="20.100000000000001" customHeight="1" x14ac:dyDescent="0.15">
      <c r="A20" s="64"/>
      <c r="B20" s="159"/>
      <c r="C20" s="69" t="s">
        <v>35</v>
      </c>
      <c r="D20" s="45">
        <v>0</v>
      </c>
      <c r="E20" s="45">
        <v>0</v>
      </c>
      <c r="F20" s="55">
        <f t="shared" si="2"/>
        <v>0</v>
      </c>
      <c r="G20" s="122">
        <v>0</v>
      </c>
      <c r="H20" s="114" t="s">
        <v>35</v>
      </c>
      <c r="I20" s="238">
        <v>0</v>
      </c>
    </row>
    <row r="21" spans="1:9" ht="20.100000000000001" customHeight="1" x14ac:dyDescent="0.15">
      <c r="A21" s="64"/>
      <c r="B21" s="159"/>
      <c r="C21" s="44" t="s">
        <v>36</v>
      </c>
      <c r="D21" s="45">
        <v>0</v>
      </c>
      <c r="E21" s="45">
        <v>0</v>
      </c>
      <c r="F21" s="55">
        <f t="shared" si="2"/>
        <v>0</v>
      </c>
      <c r="G21" s="122">
        <v>0</v>
      </c>
      <c r="H21" s="114" t="s">
        <v>36</v>
      </c>
      <c r="I21" s="238">
        <v>0</v>
      </c>
    </row>
    <row r="22" spans="1:9" ht="20.100000000000001" customHeight="1" x14ac:dyDescent="0.15">
      <c r="A22" s="248" t="s">
        <v>38</v>
      </c>
      <c r="B22" s="249"/>
      <c r="C22" s="250"/>
      <c r="D22" s="47">
        <v>0</v>
      </c>
      <c r="E22" s="47">
        <v>0</v>
      </c>
      <c r="F22" s="42">
        <f t="shared" si="2"/>
        <v>0</v>
      </c>
      <c r="G22" s="122">
        <v>0</v>
      </c>
      <c r="H22" s="114" t="s">
        <v>38</v>
      </c>
      <c r="I22" s="186"/>
    </row>
    <row r="23" spans="1:9" ht="20.100000000000001" customHeight="1" x14ac:dyDescent="0.15">
      <c r="A23" s="64"/>
      <c r="B23" s="267" t="s">
        <v>38</v>
      </c>
      <c r="C23" s="250"/>
      <c r="D23" s="45">
        <v>0</v>
      </c>
      <c r="E23" s="45">
        <v>0</v>
      </c>
      <c r="F23" s="55">
        <f t="shared" si="2"/>
        <v>0</v>
      </c>
      <c r="G23" s="122">
        <v>0</v>
      </c>
      <c r="H23" s="114" t="s">
        <v>38</v>
      </c>
      <c r="I23" s="186"/>
    </row>
    <row r="24" spans="1:9" ht="20.100000000000001" customHeight="1" x14ac:dyDescent="0.15">
      <c r="A24" s="64"/>
      <c r="B24" s="63"/>
      <c r="C24" s="69" t="s">
        <v>39</v>
      </c>
      <c r="D24" s="45">
        <v>0</v>
      </c>
      <c r="E24" s="45">
        <v>0</v>
      </c>
      <c r="F24" s="55">
        <f t="shared" si="2"/>
        <v>0</v>
      </c>
      <c r="G24" s="122">
        <v>0</v>
      </c>
      <c r="H24" s="114" t="s">
        <v>39</v>
      </c>
      <c r="I24" s="238">
        <v>0</v>
      </c>
    </row>
    <row r="25" spans="1:9" ht="20.100000000000001" customHeight="1" x14ac:dyDescent="0.15">
      <c r="A25" s="157" t="s">
        <v>25</v>
      </c>
      <c r="B25" s="158"/>
      <c r="C25" s="156"/>
      <c r="D25" s="48">
        <f>D26</f>
        <v>3708070</v>
      </c>
      <c r="E25" s="48">
        <f>E26</f>
        <v>4430100</v>
      </c>
      <c r="F25" s="42">
        <f t="shared" si="2"/>
        <v>722030</v>
      </c>
      <c r="G25" s="121">
        <f t="shared" si="1"/>
        <v>119.47185463057602</v>
      </c>
      <c r="H25" s="114" t="s">
        <v>25</v>
      </c>
      <c r="I25" s="186"/>
    </row>
    <row r="26" spans="1:9" ht="20.100000000000001" customHeight="1" x14ac:dyDescent="0.15">
      <c r="A26" s="212"/>
      <c r="B26" s="143" t="s">
        <v>25</v>
      </c>
      <c r="C26" s="62"/>
      <c r="D26" s="49">
        <f>D27+D29</f>
        <v>3708070</v>
      </c>
      <c r="E26" s="49">
        <f>E27+E29</f>
        <v>4430100</v>
      </c>
      <c r="F26" s="49">
        <f t="shared" si="2"/>
        <v>722030</v>
      </c>
      <c r="G26" s="213">
        <f t="shared" si="1"/>
        <v>119.47185463057602</v>
      </c>
      <c r="H26" s="115" t="s">
        <v>25</v>
      </c>
      <c r="I26" s="187"/>
    </row>
    <row r="27" spans="1:9" ht="20.100000000000001" customHeight="1" x14ac:dyDescent="0.15">
      <c r="A27" s="214"/>
      <c r="B27" s="143"/>
      <c r="C27" s="46" t="s">
        <v>97</v>
      </c>
      <c r="D27" s="49">
        <v>28070</v>
      </c>
      <c r="E27" s="49">
        <f>I28</f>
        <v>30100</v>
      </c>
      <c r="F27" s="49">
        <f t="shared" si="2"/>
        <v>2030</v>
      </c>
      <c r="G27" s="126">
        <f t="shared" si="1"/>
        <v>107.23192019950125</v>
      </c>
      <c r="H27" s="115" t="s">
        <v>97</v>
      </c>
      <c r="I27" s="187"/>
    </row>
    <row r="28" spans="1:9" ht="20.100000000000001" customHeight="1" x14ac:dyDescent="0.15">
      <c r="A28" s="192"/>
      <c r="B28" s="193"/>
      <c r="C28" s="74"/>
      <c r="D28" s="226"/>
      <c r="E28" s="226"/>
      <c r="F28" s="226"/>
      <c r="G28" s="227"/>
      <c r="H28" s="167" t="s">
        <v>281</v>
      </c>
      <c r="I28" s="191">
        <f>15050*2</f>
        <v>30100</v>
      </c>
    </row>
    <row r="29" spans="1:9" ht="20.100000000000001" customHeight="1" x14ac:dyDescent="0.15">
      <c r="A29" s="65"/>
      <c r="B29" s="68"/>
      <c r="C29" s="68" t="s">
        <v>37</v>
      </c>
      <c r="D29" s="72">
        <v>3680000</v>
      </c>
      <c r="E29" s="72">
        <f>I30+I31</f>
        <v>4400000</v>
      </c>
      <c r="F29" s="72">
        <f t="shared" si="2"/>
        <v>720000</v>
      </c>
      <c r="G29" s="135">
        <f t="shared" si="1"/>
        <v>119.56521739130434</v>
      </c>
      <c r="H29" s="116" t="s">
        <v>37</v>
      </c>
      <c r="I29" s="188"/>
    </row>
    <row r="30" spans="1:9" ht="20.100000000000001" customHeight="1" x14ac:dyDescent="0.15">
      <c r="A30" s="65"/>
      <c r="B30" s="73"/>
      <c r="C30" s="68"/>
      <c r="D30" s="72"/>
      <c r="E30" s="72"/>
      <c r="F30" s="72"/>
      <c r="G30" s="135"/>
      <c r="H30" s="116" t="s">
        <v>129</v>
      </c>
      <c r="I30" s="188">
        <f>300000*12</f>
        <v>3600000</v>
      </c>
    </row>
    <row r="31" spans="1:9" ht="20.100000000000001" customHeight="1" x14ac:dyDescent="0.15">
      <c r="A31" s="65"/>
      <c r="B31" s="73"/>
      <c r="C31" s="68"/>
      <c r="D31" s="72"/>
      <c r="E31" s="72"/>
      <c r="F31" s="72"/>
      <c r="G31" s="135"/>
      <c r="H31" s="116" t="s">
        <v>233</v>
      </c>
      <c r="I31" s="188">
        <f>400000*2</f>
        <v>800000</v>
      </c>
    </row>
    <row r="32" spans="1:9" ht="20.100000000000001" customHeight="1" x14ac:dyDescent="0.15">
      <c r="A32" s="157" t="s">
        <v>22</v>
      </c>
      <c r="B32" s="158"/>
      <c r="C32" s="156"/>
      <c r="D32" s="48">
        <f>D33</f>
        <v>5847480</v>
      </c>
      <c r="E32" s="48">
        <f>E33</f>
        <v>9000000</v>
      </c>
      <c r="F32" s="48">
        <f>E32-D32</f>
        <v>3152520</v>
      </c>
      <c r="G32" s="148">
        <f t="shared" si="1"/>
        <v>153.91245459582589</v>
      </c>
      <c r="H32" s="114" t="s">
        <v>41</v>
      </c>
      <c r="I32" s="186"/>
    </row>
    <row r="33" spans="1:9" ht="20.100000000000001" customHeight="1" x14ac:dyDescent="0.15">
      <c r="A33" s="65"/>
      <c r="B33" s="155" t="s">
        <v>23</v>
      </c>
      <c r="C33" s="156"/>
      <c r="D33" s="43">
        <f>D34</f>
        <v>5847480</v>
      </c>
      <c r="E33" s="43">
        <f>E34</f>
        <v>9000000</v>
      </c>
      <c r="F33" s="55">
        <f t="shared" si="0"/>
        <v>3152520</v>
      </c>
      <c r="G33" s="122">
        <f t="shared" si="1"/>
        <v>153.91245459582589</v>
      </c>
      <c r="H33" s="114" t="s">
        <v>141</v>
      </c>
      <c r="I33" s="186"/>
    </row>
    <row r="34" spans="1:9" ht="20.100000000000001" customHeight="1" x14ac:dyDescent="0.15">
      <c r="A34" s="65"/>
      <c r="B34" s="143"/>
      <c r="C34" s="46" t="s">
        <v>24</v>
      </c>
      <c r="D34" s="49">
        <v>5847480</v>
      </c>
      <c r="E34" s="49">
        <v>9000000</v>
      </c>
      <c r="F34" s="72">
        <f t="shared" si="0"/>
        <v>3152520</v>
      </c>
      <c r="G34" s="142">
        <f t="shared" si="1"/>
        <v>153.91245459582589</v>
      </c>
      <c r="H34" s="115" t="s">
        <v>141</v>
      </c>
      <c r="I34" s="188"/>
    </row>
    <row r="35" spans="1:9" ht="20.100000000000001" customHeight="1" thickBot="1" x14ac:dyDescent="0.2">
      <c r="A35" s="147"/>
      <c r="B35" s="165"/>
      <c r="C35" s="205"/>
      <c r="D35" s="206"/>
      <c r="E35" s="206"/>
      <c r="F35" s="206"/>
      <c r="G35" s="207"/>
      <c r="H35" s="208" t="s">
        <v>261</v>
      </c>
      <c r="I35" s="209">
        <f>9000000*1</f>
        <v>9000000</v>
      </c>
    </row>
  </sheetData>
  <mergeCells count="19">
    <mergeCell ref="B12:C12"/>
    <mergeCell ref="A18:C18"/>
    <mergeCell ref="B19:C19"/>
    <mergeCell ref="A22:C22"/>
    <mergeCell ref="B23:C23"/>
    <mergeCell ref="A11:C11"/>
    <mergeCell ref="A1:H1"/>
    <mergeCell ref="A3:C3"/>
    <mergeCell ref="H3:I3"/>
    <mergeCell ref="A4:C4"/>
    <mergeCell ref="D4:D5"/>
    <mergeCell ref="E4:E5"/>
    <mergeCell ref="F4:G4"/>
    <mergeCell ref="H4:I5"/>
    <mergeCell ref="A6:C6"/>
    <mergeCell ref="A7:C7"/>
    <mergeCell ref="A8:A10"/>
    <mergeCell ref="B8:C8"/>
    <mergeCell ref="B9:B10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firstPageNumber="3" orientation="landscape" useFirstPageNumber="1" r:id="rId1"/>
  <headerFooter alignWithMargins="0">
    <oddFooter>&amp;R참좋은기억학교(2021.11.30)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DD661-140D-4FC6-80BC-47CB7E3F97A8}">
  <dimension ref="A1:L144"/>
  <sheetViews>
    <sheetView tabSelected="1" view="pageBreakPreview" topLeftCell="A73" zoomScaleNormal="100" zoomScaleSheetLayoutView="100" workbookViewId="0">
      <selection activeCell="I91" sqref="I91"/>
    </sheetView>
  </sheetViews>
  <sheetFormatPr defaultRowHeight="13.5" x14ac:dyDescent="0.15"/>
  <cols>
    <col min="1" max="1" width="9.44140625" style="40" customWidth="1"/>
    <col min="2" max="2" width="10.21875" style="40" customWidth="1"/>
    <col min="3" max="3" width="12.6640625" style="40" customWidth="1"/>
    <col min="4" max="4" width="12.6640625" style="139" customWidth="1"/>
    <col min="5" max="5" width="13" style="139" customWidth="1"/>
    <col min="6" max="6" width="11.77734375" style="195" customWidth="1"/>
    <col min="7" max="7" width="10.109375" style="82" customWidth="1"/>
    <col min="8" max="8" width="40.33203125" style="40" customWidth="1"/>
    <col min="9" max="9" width="13.21875" style="184" bestFit="1" customWidth="1"/>
    <col min="10" max="10" width="11.44140625" style="40" bestFit="1" customWidth="1"/>
    <col min="11" max="11" width="12.44140625" style="40" bestFit="1" customWidth="1"/>
    <col min="12" max="12" width="9.33203125" style="40" bestFit="1" customWidth="1"/>
    <col min="13" max="16384" width="8.88671875" style="40"/>
  </cols>
  <sheetData>
    <row r="1" spans="1:11" ht="20.100000000000001" customHeight="1" x14ac:dyDescent="0.15">
      <c r="A1" s="50" t="s">
        <v>198</v>
      </c>
      <c r="B1" s="50"/>
      <c r="C1" s="51"/>
      <c r="G1" s="118"/>
    </row>
    <row r="2" spans="1:11" ht="20.100000000000001" customHeight="1" x14ac:dyDescent="0.15">
      <c r="A2" s="50"/>
      <c r="B2" s="50"/>
      <c r="C2" s="51"/>
      <c r="G2" s="118"/>
    </row>
    <row r="3" spans="1:11" ht="20.100000000000001" customHeight="1" x14ac:dyDescent="0.15">
      <c r="A3" s="252" t="s">
        <v>181</v>
      </c>
      <c r="B3" s="252"/>
      <c r="C3" s="252"/>
      <c r="H3" s="254" t="s">
        <v>13</v>
      </c>
      <c r="I3" s="255"/>
    </row>
    <row r="4" spans="1:11" ht="20.100000000000001" customHeight="1" x14ac:dyDescent="0.15">
      <c r="A4" s="243" t="s">
        <v>14</v>
      </c>
      <c r="B4" s="260"/>
      <c r="C4" s="260"/>
      <c r="D4" s="258" t="s">
        <v>138</v>
      </c>
      <c r="E4" s="258" t="s">
        <v>236</v>
      </c>
      <c r="F4" s="260" t="s">
        <v>4</v>
      </c>
      <c r="G4" s="260"/>
      <c r="H4" s="261" t="s">
        <v>15</v>
      </c>
      <c r="I4" s="262"/>
    </row>
    <row r="5" spans="1:11" ht="20.100000000000001" customHeight="1" thickBot="1" x14ac:dyDescent="0.2">
      <c r="A5" s="13" t="s">
        <v>16</v>
      </c>
      <c r="B5" s="41" t="s">
        <v>17</v>
      </c>
      <c r="C5" s="41" t="s">
        <v>18</v>
      </c>
      <c r="D5" s="259"/>
      <c r="E5" s="259"/>
      <c r="F5" s="183" t="s">
        <v>19</v>
      </c>
      <c r="G5" s="117" t="s">
        <v>20</v>
      </c>
      <c r="H5" s="263"/>
      <c r="I5" s="264"/>
      <c r="J5" s="82">
        <f>'최초예산내역-세입'!E6-E6</f>
        <v>-0.46127665042877197</v>
      </c>
    </row>
    <row r="6" spans="1:11" ht="20.100000000000001" customHeight="1" thickTop="1" x14ac:dyDescent="0.15">
      <c r="A6" s="269" t="s">
        <v>21</v>
      </c>
      <c r="B6" s="270"/>
      <c r="C6" s="270"/>
      <c r="D6" s="196">
        <f>D7+D79+D88+D139</f>
        <v>380163000</v>
      </c>
      <c r="E6" s="196">
        <f>E7+E79+E88+E139</f>
        <v>418713000.46127665</v>
      </c>
      <c r="F6" s="196">
        <f>E6-D6</f>
        <v>38550000.46127665</v>
      </c>
      <c r="G6" s="121">
        <f>E6/D6*100</f>
        <v>110.14038727105917</v>
      </c>
      <c r="H6" s="133"/>
      <c r="I6" s="188"/>
    </row>
    <row r="7" spans="1:11" ht="20.100000000000001" customHeight="1" x14ac:dyDescent="0.15">
      <c r="A7" s="157" t="s">
        <v>26</v>
      </c>
      <c r="B7" s="52"/>
      <c r="C7" s="156"/>
      <c r="D7" s="54">
        <f>D8+D49+D54</f>
        <v>348238130</v>
      </c>
      <c r="E7" s="54">
        <f>E8+E49+E54</f>
        <v>382580625.46127665</v>
      </c>
      <c r="F7" s="54">
        <f t="shared" ref="F7:F143" si="0">E7-D7</f>
        <v>34342495.46127665</v>
      </c>
      <c r="G7" s="121">
        <f>E7/D7*100</f>
        <v>109.86178494045917</v>
      </c>
      <c r="H7" s="127" t="s">
        <v>26</v>
      </c>
      <c r="I7" s="186"/>
    </row>
    <row r="8" spans="1:11" ht="20.100000000000001" customHeight="1" x14ac:dyDescent="0.15">
      <c r="A8" s="65"/>
      <c r="B8" s="155" t="s">
        <v>27</v>
      </c>
      <c r="C8" s="156"/>
      <c r="D8" s="53">
        <f>D9+D26+D37+D39+D45</f>
        <v>310812530</v>
      </c>
      <c r="E8" s="53">
        <f>E9+E26+E37+E39+E45</f>
        <v>340270625.46127665</v>
      </c>
      <c r="F8" s="53">
        <f t="shared" si="0"/>
        <v>29458095.46127665</v>
      </c>
      <c r="G8" s="122">
        <f t="shared" ref="G8:G9" si="1">E8/D8*100</f>
        <v>109.47776959354781</v>
      </c>
      <c r="H8" s="128" t="s">
        <v>27</v>
      </c>
      <c r="I8" s="186"/>
    </row>
    <row r="9" spans="1:11" ht="20.100000000000001" customHeight="1" x14ac:dyDescent="0.15">
      <c r="A9" s="65"/>
      <c r="B9" s="68"/>
      <c r="C9" s="46" t="s">
        <v>42</v>
      </c>
      <c r="D9" s="75">
        <v>238478530</v>
      </c>
      <c r="E9" s="75">
        <f>I9</f>
        <v>251456000</v>
      </c>
      <c r="F9" s="75">
        <f>E9-D9</f>
        <v>12977470</v>
      </c>
      <c r="G9" s="126">
        <f t="shared" si="1"/>
        <v>105.44177708576115</v>
      </c>
      <c r="H9" s="129" t="s">
        <v>43</v>
      </c>
      <c r="I9" s="190">
        <f>SUM(I10:I25)</f>
        <v>251456000</v>
      </c>
    </row>
    <row r="10" spans="1:11" ht="20.100000000000001" customHeight="1" x14ac:dyDescent="0.15">
      <c r="A10" s="65"/>
      <c r="B10" s="68"/>
      <c r="C10" s="68"/>
      <c r="D10" s="76"/>
      <c r="E10" s="76"/>
      <c r="F10" s="197"/>
      <c r="G10" s="119"/>
      <c r="H10" s="116" t="s">
        <v>201</v>
      </c>
      <c r="I10" s="188">
        <f>4193000*7</f>
        <v>29351000</v>
      </c>
    </row>
    <row r="11" spans="1:11" ht="20.100000000000001" customHeight="1" x14ac:dyDescent="0.15">
      <c r="A11" s="65"/>
      <c r="B11" s="68"/>
      <c r="C11" s="68"/>
      <c r="D11" s="76"/>
      <c r="E11" s="76"/>
      <c r="F11" s="197"/>
      <c r="G11" s="119"/>
      <c r="H11" s="116" t="s">
        <v>202</v>
      </c>
      <c r="I11" s="188">
        <f>4667300*5*1</f>
        <v>23336500</v>
      </c>
      <c r="K11" s="40">
        <f>239620700+21908780+2120000+22443380+27347315</f>
        <v>313440175</v>
      </c>
    </row>
    <row r="12" spans="1:11" ht="20.100000000000001" customHeight="1" x14ac:dyDescent="0.15">
      <c r="A12" s="65"/>
      <c r="B12" s="68"/>
      <c r="C12" s="68"/>
      <c r="D12" s="76"/>
      <c r="E12" s="76"/>
      <c r="F12" s="197"/>
      <c r="G12" s="119"/>
      <c r="H12" s="116" t="s">
        <v>203</v>
      </c>
      <c r="I12" s="188">
        <f>2626300*1*1</f>
        <v>2626300</v>
      </c>
    </row>
    <row r="13" spans="1:11" ht="20.100000000000001" customHeight="1" x14ac:dyDescent="0.15">
      <c r="A13" s="65"/>
      <c r="B13" s="68"/>
      <c r="C13" s="68"/>
      <c r="D13" s="76"/>
      <c r="E13" s="76"/>
      <c r="F13" s="197"/>
      <c r="G13" s="119"/>
      <c r="H13" s="116" t="s">
        <v>204</v>
      </c>
      <c r="I13" s="188">
        <f>2729100*11*1</f>
        <v>30020100</v>
      </c>
    </row>
    <row r="14" spans="1:11" ht="20.100000000000001" customHeight="1" x14ac:dyDescent="0.15">
      <c r="A14" s="65"/>
      <c r="B14" s="68"/>
      <c r="C14" s="68"/>
      <c r="D14" s="76"/>
      <c r="E14" s="76"/>
      <c r="F14" s="197"/>
      <c r="G14" s="119"/>
      <c r="H14" s="116" t="s">
        <v>205</v>
      </c>
      <c r="I14" s="188">
        <f>2311800*9*1</f>
        <v>20806200</v>
      </c>
    </row>
    <row r="15" spans="1:11" ht="20.100000000000001" customHeight="1" x14ac:dyDescent="0.15">
      <c r="A15" s="65"/>
      <c r="B15" s="68"/>
      <c r="C15" s="68"/>
      <c r="D15" s="76"/>
      <c r="E15" s="76"/>
      <c r="F15" s="197"/>
      <c r="G15" s="119"/>
      <c r="H15" s="116" t="s">
        <v>206</v>
      </c>
      <c r="I15" s="188">
        <f>2407900*3*1</f>
        <v>7223700</v>
      </c>
    </row>
    <row r="16" spans="1:11" ht="20.100000000000001" customHeight="1" x14ac:dyDescent="0.15">
      <c r="A16" s="65"/>
      <c r="B16" s="68"/>
      <c r="C16" s="68"/>
      <c r="D16" s="76"/>
      <c r="E16" s="76"/>
      <c r="F16" s="197"/>
      <c r="G16" s="119"/>
      <c r="H16" s="116" t="s">
        <v>207</v>
      </c>
      <c r="I16" s="188">
        <f>1979400*10*1</f>
        <v>19794000</v>
      </c>
    </row>
    <row r="17" spans="1:11" ht="20.100000000000001" customHeight="1" x14ac:dyDescent="0.15">
      <c r="A17" s="65"/>
      <c r="B17" s="68"/>
      <c r="C17" s="68"/>
      <c r="D17" s="76"/>
      <c r="E17" s="76"/>
      <c r="F17" s="197"/>
      <c r="G17" s="119"/>
      <c r="H17" s="116" t="s">
        <v>208</v>
      </c>
      <c r="I17" s="188">
        <f>2031300*2*1</f>
        <v>4062600</v>
      </c>
    </row>
    <row r="18" spans="1:11" ht="20.100000000000001" customHeight="1" x14ac:dyDescent="0.15">
      <c r="A18" s="65"/>
      <c r="B18" s="68"/>
      <c r="C18" s="68"/>
      <c r="D18" s="76"/>
      <c r="E18" s="76"/>
      <c r="F18" s="197"/>
      <c r="G18" s="119"/>
      <c r="H18" s="116" t="s">
        <v>215</v>
      </c>
      <c r="I18" s="188">
        <f>1948500*2*1</f>
        <v>3897000</v>
      </c>
    </row>
    <row r="19" spans="1:11" ht="20.100000000000001" customHeight="1" x14ac:dyDescent="0.15">
      <c r="A19" s="65"/>
      <c r="B19" s="68"/>
      <c r="C19" s="68"/>
      <c r="D19" s="76"/>
      <c r="E19" s="76"/>
      <c r="F19" s="197"/>
      <c r="G19" s="119"/>
      <c r="H19" s="116" t="s">
        <v>216</v>
      </c>
      <c r="I19" s="188">
        <f>1979400*10*1</f>
        <v>19794000</v>
      </c>
    </row>
    <row r="20" spans="1:11" ht="20.100000000000001" customHeight="1" x14ac:dyDescent="0.15">
      <c r="A20" s="65"/>
      <c r="B20" s="68"/>
      <c r="C20" s="68"/>
      <c r="D20" s="76"/>
      <c r="E20" s="76"/>
      <c r="F20" s="197"/>
      <c r="G20" s="119"/>
      <c r="H20" s="116" t="s">
        <v>209</v>
      </c>
      <c r="I20" s="188">
        <f>2092200*11*1</f>
        <v>23014200</v>
      </c>
    </row>
    <row r="21" spans="1:11" ht="20.100000000000001" customHeight="1" x14ac:dyDescent="0.15">
      <c r="A21" s="65"/>
      <c r="B21" s="68"/>
      <c r="C21" s="68"/>
      <c r="D21" s="76"/>
      <c r="E21" s="76"/>
      <c r="F21" s="197"/>
      <c r="G21" s="119"/>
      <c r="H21" s="116" t="s">
        <v>210</v>
      </c>
      <c r="I21" s="188">
        <f>2156000*1*1</f>
        <v>2156000</v>
      </c>
    </row>
    <row r="22" spans="1:11" ht="20.100000000000001" customHeight="1" x14ac:dyDescent="0.15">
      <c r="A22" s="65"/>
      <c r="B22" s="68"/>
      <c r="C22" s="68"/>
      <c r="D22" s="76"/>
      <c r="E22" s="76"/>
      <c r="F22" s="197"/>
      <c r="G22" s="119"/>
      <c r="H22" s="116" t="s">
        <v>213</v>
      </c>
      <c r="I22" s="188">
        <f>1909800*8*1</f>
        <v>15278400</v>
      </c>
    </row>
    <row r="23" spans="1:11" ht="20.100000000000001" customHeight="1" x14ac:dyDescent="0.15">
      <c r="A23" s="65"/>
      <c r="B23" s="68"/>
      <c r="C23" s="68"/>
      <c r="D23" s="76"/>
      <c r="E23" s="76"/>
      <c r="F23" s="197"/>
      <c r="G23" s="119"/>
      <c r="H23" s="116" t="s">
        <v>214</v>
      </c>
      <c r="I23" s="188">
        <f>1964000*4*1</f>
        <v>7856000</v>
      </c>
    </row>
    <row r="24" spans="1:11" ht="20.100000000000001" customHeight="1" x14ac:dyDescent="0.15">
      <c r="A24" s="65"/>
      <c r="B24" s="68"/>
      <c r="C24" s="68"/>
      <c r="D24" s="76"/>
      <c r="E24" s="76"/>
      <c r="F24" s="197"/>
      <c r="G24" s="119"/>
      <c r="H24" s="116" t="s">
        <v>211</v>
      </c>
      <c r="I24" s="188">
        <f>1970000*12*1</f>
        <v>23640000</v>
      </c>
    </row>
    <row r="25" spans="1:11" ht="20.100000000000001" customHeight="1" x14ac:dyDescent="0.15">
      <c r="A25" s="65"/>
      <c r="B25" s="68"/>
      <c r="C25" s="68"/>
      <c r="D25" s="76"/>
      <c r="E25" s="76"/>
      <c r="F25" s="197"/>
      <c r="G25" s="119"/>
      <c r="H25" s="116" t="s">
        <v>212</v>
      </c>
      <c r="I25" s="188">
        <f>1550000*12*1</f>
        <v>18600000</v>
      </c>
    </row>
    <row r="26" spans="1:11" ht="20.100000000000001" customHeight="1" x14ac:dyDescent="0.15">
      <c r="A26" s="65"/>
      <c r="B26" s="68"/>
      <c r="C26" s="46" t="s">
        <v>44</v>
      </c>
      <c r="D26" s="75">
        <v>25394260</v>
      </c>
      <c r="E26" s="75">
        <f>I28+I30+I32+I34+I36</f>
        <v>34122210</v>
      </c>
      <c r="F26" s="75">
        <f>E26-D26</f>
        <v>8727950</v>
      </c>
      <c r="G26" s="126">
        <f>E26/D26*100</f>
        <v>134.3697749018873</v>
      </c>
      <c r="H26" s="115" t="s">
        <v>44</v>
      </c>
      <c r="I26" s="187"/>
      <c r="K26" s="139"/>
    </row>
    <row r="27" spans="1:11" ht="20.100000000000001" customHeight="1" x14ac:dyDescent="0.15">
      <c r="A27" s="65"/>
      <c r="B27" s="68"/>
      <c r="C27" s="68"/>
      <c r="D27" s="76"/>
      <c r="E27" s="76"/>
      <c r="F27" s="197"/>
      <c r="G27" s="119"/>
      <c r="H27" s="116" t="s">
        <v>217</v>
      </c>
      <c r="I27" s="188"/>
    </row>
    <row r="28" spans="1:11" ht="20.100000000000001" customHeight="1" x14ac:dyDescent="0.15">
      <c r="A28" s="192"/>
      <c r="B28" s="74"/>
      <c r="C28" s="74"/>
      <c r="D28" s="166"/>
      <c r="E28" s="166"/>
      <c r="F28" s="198"/>
      <c r="G28" s="194"/>
      <c r="H28" s="223" t="s">
        <v>218</v>
      </c>
      <c r="I28" s="191">
        <f>11667260*2</f>
        <v>23334520</v>
      </c>
    </row>
    <row r="29" spans="1:11" ht="20.100000000000001" customHeight="1" x14ac:dyDescent="0.15">
      <c r="A29" s="65"/>
      <c r="B29" s="68"/>
      <c r="C29" s="68"/>
      <c r="D29" s="76"/>
      <c r="E29" s="76"/>
      <c r="F29" s="197"/>
      <c r="G29" s="119"/>
      <c r="H29" s="116" t="s">
        <v>220</v>
      </c>
      <c r="I29" s="188"/>
    </row>
    <row r="30" spans="1:11" ht="20.100000000000001" customHeight="1" x14ac:dyDescent="0.15">
      <c r="A30" s="65"/>
      <c r="B30" s="68"/>
      <c r="C30" s="68"/>
      <c r="D30" s="76"/>
      <c r="E30" s="76"/>
      <c r="F30" s="197"/>
      <c r="G30" s="119"/>
      <c r="H30" s="115" t="s">
        <v>219</v>
      </c>
      <c r="I30" s="187">
        <f>445000*4</f>
        <v>1780000</v>
      </c>
    </row>
    <row r="31" spans="1:11" ht="20.100000000000001" customHeight="1" x14ac:dyDescent="0.15">
      <c r="A31" s="65"/>
      <c r="B31" s="68"/>
      <c r="C31" s="68"/>
      <c r="D31" s="76"/>
      <c r="E31" s="76"/>
      <c r="F31" s="197"/>
      <c r="G31" s="119"/>
      <c r="H31" s="116" t="s">
        <v>231</v>
      </c>
      <c r="I31" s="188"/>
    </row>
    <row r="32" spans="1:11" ht="20.100000000000001" customHeight="1" x14ac:dyDescent="0.15">
      <c r="A32" s="65"/>
      <c r="B32" s="68"/>
      <c r="C32" s="68"/>
      <c r="D32" s="76"/>
      <c r="E32" s="76"/>
      <c r="F32" s="197"/>
      <c r="G32" s="119"/>
      <c r="H32" s="116" t="s">
        <v>288</v>
      </c>
      <c r="I32" s="188">
        <f>6467050*1</f>
        <v>6467050</v>
      </c>
    </row>
    <row r="33" spans="1:12" ht="20.100000000000001" customHeight="1" x14ac:dyDescent="0.15">
      <c r="A33" s="65"/>
      <c r="B33" s="68"/>
      <c r="C33" s="68"/>
      <c r="D33" s="76"/>
      <c r="E33" s="76"/>
      <c r="F33" s="197"/>
      <c r="G33" s="119"/>
      <c r="H33" s="116" t="s">
        <v>150</v>
      </c>
      <c r="I33" s="188"/>
    </row>
    <row r="34" spans="1:12" ht="20.100000000000001" customHeight="1" x14ac:dyDescent="0.15">
      <c r="A34" s="65"/>
      <c r="B34" s="68"/>
      <c r="C34" s="68"/>
      <c r="D34" s="76"/>
      <c r="E34" s="76"/>
      <c r="F34" s="197"/>
      <c r="G34" s="119"/>
      <c r="H34" s="116" t="s">
        <v>221</v>
      </c>
      <c r="I34" s="188">
        <f>100000*6*3</f>
        <v>1800000</v>
      </c>
    </row>
    <row r="35" spans="1:12" ht="20.100000000000001" customHeight="1" x14ac:dyDescent="0.15">
      <c r="A35" s="65"/>
      <c r="B35" s="68"/>
      <c r="C35" s="68"/>
      <c r="D35" s="76"/>
      <c r="E35" s="76"/>
      <c r="F35" s="197"/>
      <c r="G35" s="119"/>
      <c r="H35" s="116" t="s">
        <v>223</v>
      </c>
      <c r="I35" s="188"/>
    </row>
    <row r="36" spans="1:12" ht="20.100000000000001" customHeight="1" x14ac:dyDescent="0.15">
      <c r="A36" s="65"/>
      <c r="B36" s="68"/>
      <c r="C36" s="68"/>
      <c r="D36" s="76"/>
      <c r="E36" s="76"/>
      <c r="F36" s="197"/>
      <c r="G36" s="120"/>
      <c r="H36" s="116" t="s">
        <v>222</v>
      </c>
      <c r="I36" s="189">
        <f>61720*12</f>
        <v>740640</v>
      </c>
    </row>
    <row r="37" spans="1:12" ht="20.100000000000001" customHeight="1" x14ac:dyDescent="0.15">
      <c r="A37" s="65"/>
      <c r="B37" s="68"/>
      <c r="C37" s="79" t="s">
        <v>72</v>
      </c>
      <c r="D37" s="75">
        <v>21742720</v>
      </c>
      <c r="E37" s="75">
        <f>I38</f>
        <v>23740630</v>
      </c>
      <c r="F37" s="75">
        <f>E37-D37</f>
        <v>1997910</v>
      </c>
      <c r="G37" s="126">
        <f>E37/D37*100</f>
        <v>109.18886873399465</v>
      </c>
      <c r="H37" s="115" t="s">
        <v>72</v>
      </c>
      <c r="I37" s="188"/>
    </row>
    <row r="38" spans="1:12" ht="20.100000000000001" customHeight="1" x14ac:dyDescent="0.15">
      <c r="A38" s="65"/>
      <c r="B38" s="68"/>
      <c r="C38" s="68"/>
      <c r="D38" s="76"/>
      <c r="E38" s="76"/>
      <c r="F38" s="197"/>
      <c r="G38" s="120"/>
      <c r="H38" s="116" t="s">
        <v>230</v>
      </c>
      <c r="I38" s="189">
        <f>23740630*1</f>
        <v>23740630</v>
      </c>
      <c r="K38" s="82"/>
    </row>
    <row r="39" spans="1:12" ht="20.100000000000001" customHeight="1" x14ac:dyDescent="0.15">
      <c r="A39" s="65"/>
      <c r="B39" s="68"/>
      <c r="C39" s="46" t="s">
        <v>45</v>
      </c>
      <c r="D39" s="75">
        <v>25097020</v>
      </c>
      <c r="E39" s="75">
        <f>SUM(I40:I44)</f>
        <v>28611785.46127665</v>
      </c>
      <c r="F39" s="75">
        <f>E39-D39</f>
        <v>3514765.4612766504</v>
      </c>
      <c r="G39" s="126">
        <f>E39/D39*100</f>
        <v>114.00471235739005</v>
      </c>
      <c r="H39" s="115" t="s">
        <v>46</v>
      </c>
      <c r="I39" s="188"/>
      <c r="K39" s="82"/>
      <c r="L39" s="82"/>
    </row>
    <row r="40" spans="1:12" ht="20.100000000000001" customHeight="1" x14ac:dyDescent="0.15">
      <c r="A40" s="65"/>
      <c r="B40" s="68"/>
      <c r="C40" s="68"/>
      <c r="D40" s="76"/>
      <c r="E40" s="76"/>
      <c r="F40" s="197"/>
      <c r="G40" s="119"/>
      <c r="H40" s="116" t="s">
        <v>227</v>
      </c>
      <c r="I40" s="188">
        <f>285628210*4.5%</f>
        <v>12853269.449999999</v>
      </c>
      <c r="K40" s="82"/>
    </row>
    <row r="41" spans="1:12" ht="20.100000000000001" customHeight="1" x14ac:dyDescent="0.15">
      <c r="A41" s="65"/>
      <c r="B41" s="68"/>
      <c r="C41" s="68"/>
      <c r="D41" s="76"/>
      <c r="E41" s="76"/>
      <c r="F41" s="197"/>
      <c r="G41" s="119"/>
      <c r="H41" s="130" t="s">
        <v>228</v>
      </c>
      <c r="I41" s="188">
        <f>285628210*3.495%</f>
        <v>9982705.9395000003</v>
      </c>
      <c r="K41" s="82"/>
    </row>
    <row r="42" spans="1:12" ht="20.100000000000001" customHeight="1" x14ac:dyDescent="0.15">
      <c r="A42" s="65"/>
      <c r="B42" s="68"/>
      <c r="C42" s="68"/>
      <c r="D42" s="76"/>
      <c r="E42" s="76"/>
      <c r="F42" s="197"/>
      <c r="G42" s="119"/>
      <c r="H42" s="116" t="s">
        <v>229</v>
      </c>
      <c r="I42" s="188">
        <f>I41*12.27%</f>
        <v>1224878.0187766498</v>
      </c>
      <c r="K42" s="82"/>
    </row>
    <row r="43" spans="1:12" ht="20.100000000000001" customHeight="1" x14ac:dyDescent="0.15">
      <c r="A43" s="65"/>
      <c r="B43" s="68"/>
      <c r="C43" s="68"/>
      <c r="D43" s="76"/>
      <c r="E43" s="76"/>
      <c r="F43" s="197"/>
      <c r="G43" s="119"/>
      <c r="H43" s="116" t="s">
        <v>285</v>
      </c>
      <c r="I43" s="188">
        <f>226414530*1.25%</f>
        <v>2830181.625</v>
      </c>
    </row>
    <row r="44" spans="1:12" ht="20.100000000000001" customHeight="1" x14ac:dyDescent="0.15">
      <c r="A44" s="65"/>
      <c r="B44" s="68"/>
      <c r="C44" s="68"/>
      <c r="D44" s="76"/>
      <c r="E44" s="76"/>
      <c r="F44" s="197"/>
      <c r="G44" s="119"/>
      <c r="H44" s="116" t="s">
        <v>284</v>
      </c>
      <c r="I44" s="189">
        <f>226414530*0.76%</f>
        <v>1720750.4280000001</v>
      </c>
    </row>
    <row r="45" spans="1:12" ht="20.100000000000001" customHeight="1" x14ac:dyDescent="0.15">
      <c r="A45" s="65"/>
      <c r="B45" s="68"/>
      <c r="C45" s="46" t="s">
        <v>47</v>
      </c>
      <c r="D45" s="75">
        <v>100000</v>
      </c>
      <c r="E45" s="75">
        <f>I46+I47+I48</f>
        <v>2340000</v>
      </c>
      <c r="F45" s="75">
        <f>E45-D45</f>
        <v>2240000</v>
      </c>
      <c r="G45" s="126">
        <f>E45/D45*100</f>
        <v>2340</v>
      </c>
      <c r="H45" s="115" t="s">
        <v>47</v>
      </c>
      <c r="I45" s="188"/>
    </row>
    <row r="46" spans="1:12" ht="20.100000000000001" customHeight="1" x14ac:dyDescent="0.15">
      <c r="A46" s="65"/>
      <c r="B46" s="68"/>
      <c r="C46" s="68"/>
      <c r="D46" s="76"/>
      <c r="E46" s="76"/>
      <c r="F46" s="197"/>
      <c r="G46" s="119"/>
      <c r="H46" s="116" t="s">
        <v>224</v>
      </c>
      <c r="I46" s="188">
        <f>1850000*1</f>
        <v>1850000</v>
      </c>
    </row>
    <row r="47" spans="1:12" ht="20.100000000000001" customHeight="1" x14ac:dyDescent="0.15">
      <c r="A47" s="65"/>
      <c r="B47" s="68"/>
      <c r="C47" s="68"/>
      <c r="D47" s="76"/>
      <c r="E47" s="76"/>
      <c r="F47" s="197"/>
      <c r="G47" s="119"/>
      <c r="H47" s="130" t="s">
        <v>225</v>
      </c>
      <c r="I47" s="188">
        <f>90000*1</f>
        <v>90000</v>
      </c>
    </row>
    <row r="48" spans="1:12" ht="20.100000000000001" customHeight="1" x14ac:dyDescent="0.15">
      <c r="A48" s="65"/>
      <c r="B48" s="69"/>
      <c r="C48" s="69"/>
      <c r="D48" s="77"/>
      <c r="E48" s="77"/>
      <c r="F48" s="199"/>
      <c r="G48" s="120"/>
      <c r="H48" s="130" t="s">
        <v>226</v>
      </c>
      <c r="I48" s="188">
        <f>200000*2</f>
        <v>400000</v>
      </c>
    </row>
    <row r="49" spans="1:9" ht="20.100000000000001" customHeight="1" x14ac:dyDescent="0.15">
      <c r="A49" s="66"/>
      <c r="B49" s="155" t="s">
        <v>48</v>
      </c>
      <c r="C49" s="156"/>
      <c r="D49" s="53">
        <f>D50+D52</f>
        <v>200000</v>
      </c>
      <c r="E49" s="53">
        <f>E50+E52</f>
        <v>1000000</v>
      </c>
      <c r="F49" s="53">
        <f t="shared" ref="F49:F52" si="2">E49-D49</f>
        <v>800000</v>
      </c>
      <c r="G49" s="122">
        <f>E49/D49*100</f>
        <v>500</v>
      </c>
      <c r="H49" s="114" t="s">
        <v>48</v>
      </c>
      <c r="I49" s="186"/>
    </row>
    <row r="50" spans="1:9" ht="20.100000000000001" customHeight="1" x14ac:dyDescent="0.15">
      <c r="A50" s="65"/>
      <c r="B50" s="68"/>
      <c r="C50" s="62" t="s">
        <v>49</v>
      </c>
      <c r="D50" s="75">
        <v>100000</v>
      </c>
      <c r="E50" s="75">
        <f>I51</f>
        <v>600000</v>
      </c>
      <c r="F50" s="75">
        <f t="shared" si="2"/>
        <v>500000</v>
      </c>
      <c r="G50" s="142">
        <f t="shared" ref="G50:G57" si="3">E50/D50*100</f>
        <v>600</v>
      </c>
      <c r="H50" s="115" t="s">
        <v>49</v>
      </c>
      <c r="I50" s="187"/>
    </row>
    <row r="51" spans="1:9" ht="20.100000000000001" customHeight="1" x14ac:dyDescent="0.15">
      <c r="A51" s="65"/>
      <c r="B51" s="68"/>
      <c r="C51" s="69"/>
      <c r="D51" s="77"/>
      <c r="E51" s="77"/>
      <c r="F51" s="77"/>
      <c r="G51" s="122"/>
      <c r="H51" s="113" t="s">
        <v>116</v>
      </c>
      <c r="I51" s="189">
        <f>150000*4</f>
        <v>600000</v>
      </c>
    </row>
    <row r="52" spans="1:9" ht="20.100000000000001" customHeight="1" x14ac:dyDescent="0.15">
      <c r="A52" s="65"/>
      <c r="B52" s="68"/>
      <c r="C52" s="62" t="s">
        <v>50</v>
      </c>
      <c r="D52" s="75">
        <v>100000</v>
      </c>
      <c r="E52" s="75">
        <f>I53</f>
        <v>400000</v>
      </c>
      <c r="F52" s="75">
        <f t="shared" si="2"/>
        <v>300000</v>
      </c>
      <c r="G52" s="142">
        <f t="shared" si="3"/>
        <v>400</v>
      </c>
      <c r="H52" s="115" t="s">
        <v>50</v>
      </c>
      <c r="I52" s="187"/>
    </row>
    <row r="53" spans="1:9" ht="20.100000000000001" customHeight="1" x14ac:dyDescent="0.15">
      <c r="A53" s="192"/>
      <c r="B53" s="74"/>
      <c r="C53" s="74"/>
      <c r="D53" s="166"/>
      <c r="E53" s="166"/>
      <c r="F53" s="166"/>
      <c r="G53" s="125"/>
      <c r="H53" s="167" t="s">
        <v>110</v>
      </c>
      <c r="I53" s="191">
        <f>100000*4</f>
        <v>400000</v>
      </c>
    </row>
    <row r="54" spans="1:9" ht="20.100000000000001" customHeight="1" x14ac:dyDescent="0.15">
      <c r="A54" s="216"/>
      <c r="B54" s="217" t="s">
        <v>51</v>
      </c>
      <c r="C54" s="218"/>
      <c r="D54" s="219">
        <f>D55+D57+D63+D66+D72+D75</f>
        <v>37225600</v>
      </c>
      <c r="E54" s="219">
        <f>E55+E57+E63+E66+E72+E75</f>
        <v>41310000</v>
      </c>
      <c r="F54" s="219">
        <f t="shared" ref="F54:F57" si="4">E54-D54</f>
        <v>4084400</v>
      </c>
      <c r="G54" s="220">
        <f t="shared" si="3"/>
        <v>110.97201925556605</v>
      </c>
      <c r="H54" s="221" t="s">
        <v>51</v>
      </c>
      <c r="I54" s="222"/>
    </row>
    <row r="55" spans="1:9" ht="20.100000000000001" customHeight="1" x14ac:dyDescent="0.15">
      <c r="A55" s="65"/>
      <c r="B55" s="68"/>
      <c r="C55" s="46" t="s">
        <v>52</v>
      </c>
      <c r="D55" s="75">
        <v>40000</v>
      </c>
      <c r="E55" s="75">
        <f>I56</f>
        <v>400000</v>
      </c>
      <c r="F55" s="75">
        <f t="shared" si="4"/>
        <v>360000</v>
      </c>
      <c r="G55" s="142">
        <f t="shared" si="3"/>
        <v>1000</v>
      </c>
      <c r="H55" s="115" t="s">
        <v>52</v>
      </c>
      <c r="I55" s="187"/>
    </row>
    <row r="56" spans="1:9" ht="20.100000000000001" customHeight="1" x14ac:dyDescent="0.15">
      <c r="A56" s="65"/>
      <c r="B56" s="73"/>
      <c r="C56" s="69"/>
      <c r="D56" s="77"/>
      <c r="E56" s="77"/>
      <c r="F56" s="77"/>
      <c r="G56" s="122"/>
      <c r="H56" s="113" t="s">
        <v>259</v>
      </c>
      <c r="I56" s="189">
        <f>100000*4</f>
        <v>400000</v>
      </c>
    </row>
    <row r="57" spans="1:9" ht="20.100000000000001" customHeight="1" x14ac:dyDescent="0.15">
      <c r="A57" s="65"/>
      <c r="B57" s="73"/>
      <c r="C57" s="46" t="s">
        <v>53</v>
      </c>
      <c r="D57" s="75">
        <v>14841600</v>
      </c>
      <c r="E57" s="75">
        <f>SUM(I58:I62)</f>
        <v>13304000</v>
      </c>
      <c r="F57" s="75">
        <f t="shared" si="4"/>
        <v>-1537600</v>
      </c>
      <c r="G57" s="126">
        <f t="shared" si="3"/>
        <v>89.639931004743417</v>
      </c>
      <c r="H57" s="115" t="s">
        <v>53</v>
      </c>
      <c r="I57" s="188"/>
    </row>
    <row r="58" spans="1:9" ht="20.100000000000001" customHeight="1" x14ac:dyDescent="0.15">
      <c r="A58" s="65"/>
      <c r="B58" s="68"/>
      <c r="C58" s="68"/>
      <c r="D58" s="76"/>
      <c r="E58" s="76"/>
      <c r="F58" s="76"/>
      <c r="G58" s="119"/>
      <c r="H58" s="116" t="s">
        <v>272</v>
      </c>
      <c r="I58" s="188">
        <f>340600*8</f>
        <v>2724800</v>
      </c>
    </row>
    <row r="59" spans="1:9" ht="20.100000000000001" customHeight="1" x14ac:dyDescent="0.15">
      <c r="A59" s="65"/>
      <c r="B59" s="73"/>
      <c r="C59" s="68"/>
      <c r="D59" s="76"/>
      <c r="E59" s="76"/>
      <c r="F59" s="76"/>
      <c r="G59" s="119"/>
      <c r="H59" s="116" t="s">
        <v>271</v>
      </c>
      <c r="I59" s="188">
        <f>204600*12</f>
        <v>2455200</v>
      </c>
    </row>
    <row r="60" spans="1:9" ht="20.100000000000001" customHeight="1" x14ac:dyDescent="0.15">
      <c r="A60" s="65"/>
      <c r="B60" s="73"/>
      <c r="C60" s="68"/>
      <c r="D60" s="76"/>
      <c r="E60" s="76"/>
      <c r="F60" s="76"/>
      <c r="G60" s="119"/>
      <c r="H60" s="116" t="s">
        <v>136</v>
      </c>
      <c r="I60" s="188">
        <f>300000*4</f>
        <v>1200000</v>
      </c>
    </row>
    <row r="61" spans="1:9" ht="20.100000000000001" customHeight="1" x14ac:dyDescent="0.15">
      <c r="A61" s="65"/>
      <c r="B61" s="73"/>
      <c r="C61" s="68"/>
      <c r="D61" s="76"/>
      <c r="E61" s="76"/>
      <c r="F61" s="76"/>
      <c r="G61" s="119"/>
      <c r="H61" s="116" t="s">
        <v>156</v>
      </c>
      <c r="I61" s="188">
        <f>500000*12</f>
        <v>6000000</v>
      </c>
    </row>
    <row r="62" spans="1:9" ht="20.100000000000001" customHeight="1" x14ac:dyDescent="0.15">
      <c r="A62" s="65"/>
      <c r="B62" s="73"/>
      <c r="C62" s="68"/>
      <c r="D62" s="76"/>
      <c r="E62" s="76"/>
      <c r="F62" s="76"/>
      <c r="G62" s="119"/>
      <c r="H62" s="116" t="s">
        <v>73</v>
      </c>
      <c r="I62" s="188">
        <f>77000*12</f>
        <v>924000</v>
      </c>
    </row>
    <row r="63" spans="1:9" ht="20.100000000000001" customHeight="1" x14ac:dyDescent="0.15">
      <c r="A63" s="65"/>
      <c r="B63" s="68"/>
      <c r="C63" s="46" t="s">
        <v>54</v>
      </c>
      <c r="D63" s="75">
        <v>4440000</v>
      </c>
      <c r="E63" s="75">
        <f>I64+I65</f>
        <v>9240000</v>
      </c>
      <c r="F63" s="75">
        <f t="shared" ref="F63" si="5">E63-D63</f>
        <v>4800000</v>
      </c>
      <c r="G63" s="126">
        <f t="shared" ref="G63" si="6">E63/D63*100</f>
        <v>208.10810810810813</v>
      </c>
      <c r="H63" s="115" t="s">
        <v>54</v>
      </c>
      <c r="I63" s="187"/>
    </row>
    <row r="64" spans="1:9" ht="20.100000000000001" customHeight="1" x14ac:dyDescent="0.15">
      <c r="A64" s="65"/>
      <c r="B64" s="73"/>
      <c r="C64" s="68"/>
      <c r="D64" s="76"/>
      <c r="E64" s="76"/>
      <c r="F64" s="76"/>
      <c r="G64" s="119"/>
      <c r="H64" s="116" t="s">
        <v>155</v>
      </c>
      <c r="I64" s="188">
        <f>70000*12</f>
        <v>840000</v>
      </c>
    </row>
    <row r="65" spans="1:9" ht="20.100000000000001" customHeight="1" x14ac:dyDescent="0.15">
      <c r="A65" s="65"/>
      <c r="B65" s="73"/>
      <c r="C65" s="68"/>
      <c r="D65" s="76"/>
      <c r="E65" s="76"/>
      <c r="F65" s="76"/>
      <c r="G65" s="119"/>
      <c r="H65" s="116" t="s">
        <v>162</v>
      </c>
      <c r="I65" s="189">
        <f>700000*12</f>
        <v>8400000</v>
      </c>
    </row>
    <row r="66" spans="1:9" ht="20.100000000000001" customHeight="1" x14ac:dyDescent="0.15">
      <c r="A66" s="65"/>
      <c r="B66" s="73"/>
      <c r="C66" s="46" t="s">
        <v>55</v>
      </c>
      <c r="D66" s="75">
        <v>5136000</v>
      </c>
      <c r="E66" s="75">
        <f>I67+I68+I69+I70+I71</f>
        <v>6086000</v>
      </c>
      <c r="F66" s="75">
        <f t="shared" ref="F66" si="7">E66-D66</f>
        <v>950000</v>
      </c>
      <c r="G66" s="126">
        <f t="shared" ref="G66" si="8">E66/D66*100</f>
        <v>118.4968847352025</v>
      </c>
      <c r="H66" s="115" t="s">
        <v>55</v>
      </c>
      <c r="I66" s="188"/>
    </row>
    <row r="67" spans="1:9" ht="20.100000000000001" customHeight="1" x14ac:dyDescent="0.15">
      <c r="A67" s="65"/>
      <c r="B67" s="73"/>
      <c r="C67" s="68"/>
      <c r="D67" s="76"/>
      <c r="E67" s="76"/>
      <c r="F67" s="76"/>
      <c r="G67" s="119"/>
      <c r="H67" s="116" t="s">
        <v>117</v>
      </c>
      <c r="I67" s="188">
        <f>50000*2</f>
        <v>100000</v>
      </c>
    </row>
    <row r="68" spans="1:9" ht="20.100000000000001" customHeight="1" x14ac:dyDescent="0.15">
      <c r="A68" s="65"/>
      <c r="B68" s="73"/>
      <c r="C68" s="68"/>
      <c r="D68" s="76"/>
      <c r="E68" s="76"/>
      <c r="F68" s="76"/>
      <c r="G68" s="119"/>
      <c r="H68" s="116" t="s">
        <v>237</v>
      </c>
      <c r="I68" s="188">
        <f>500000*2</f>
        <v>1000000</v>
      </c>
    </row>
    <row r="69" spans="1:9" ht="20.100000000000001" customHeight="1" x14ac:dyDescent="0.15">
      <c r="A69" s="65"/>
      <c r="B69" s="73"/>
      <c r="C69" s="68"/>
      <c r="D69" s="76"/>
      <c r="E69" s="76"/>
      <c r="F69" s="76"/>
      <c r="G69" s="119"/>
      <c r="H69" s="116" t="s">
        <v>238</v>
      </c>
      <c r="I69" s="188">
        <f>300000*6</f>
        <v>1800000</v>
      </c>
    </row>
    <row r="70" spans="1:9" ht="20.100000000000001" customHeight="1" x14ac:dyDescent="0.15">
      <c r="A70" s="65"/>
      <c r="B70" s="73"/>
      <c r="C70" s="68"/>
      <c r="D70" s="76"/>
      <c r="E70" s="76"/>
      <c r="F70" s="76"/>
      <c r="G70" s="119"/>
      <c r="H70" s="116" t="s">
        <v>239</v>
      </c>
      <c r="I70" s="188">
        <f>950000*3</f>
        <v>2850000</v>
      </c>
    </row>
    <row r="71" spans="1:9" ht="20.100000000000001" customHeight="1" x14ac:dyDescent="0.15">
      <c r="A71" s="65"/>
      <c r="B71" s="73"/>
      <c r="C71" s="69"/>
      <c r="D71" s="77"/>
      <c r="E71" s="77"/>
      <c r="F71" s="77"/>
      <c r="G71" s="120"/>
      <c r="H71" s="113" t="s">
        <v>151</v>
      </c>
      <c r="I71" s="189">
        <f>112000*3</f>
        <v>336000</v>
      </c>
    </row>
    <row r="72" spans="1:9" ht="20.100000000000001" customHeight="1" x14ac:dyDescent="0.15">
      <c r="A72" s="65"/>
      <c r="B72" s="73"/>
      <c r="C72" s="46" t="s">
        <v>56</v>
      </c>
      <c r="D72" s="75">
        <v>8400000</v>
      </c>
      <c r="E72" s="75">
        <f>I73+I74</f>
        <v>8400000</v>
      </c>
      <c r="F72" s="75">
        <f t="shared" ref="F72" si="9">E72-D72</f>
        <v>0</v>
      </c>
      <c r="G72" s="126">
        <f t="shared" ref="G72" si="10">E72/D72*100</f>
        <v>100</v>
      </c>
      <c r="H72" s="115" t="s">
        <v>56</v>
      </c>
      <c r="I72" s="188"/>
    </row>
    <row r="73" spans="1:9" ht="20.100000000000001" customHeight="1" x14ac:dyDescent="0.15">
      <c r="A73" s="65"/>
      <c r="B73" s="73"/>
      <c r="C73" s="68"/>
      <c r="D73" s="76"/>
      <c r="E73" s="76"/>
      <c r="F73" s="76"/>
      <c r="G73" s="119"/>
      <c r="H73" s="116" t="s">
        <v>157</v>
      </c>
      <c r="I73" s="188">
        <f>500000*12</f>
        <v>6000000</v>
      </c>
    </row>
    <row r="74" spans="1:9" ht="20.100000000000001" customHeight="1" x14ac:dyDescent="0.15">
      <c r="A74" s="65"/>
      <c r="B74" s="73"/>
      <c r="C74" s="68"/>
      <c r="D74" s="76"/>
      <c r="E74" s="76"/>
      <c r="F74" s="76"/>
      <c r="G74" s="120"/>
      <c r="H74" s="116" t="s">
        <v>283</v>
      </c>
      <c r="I74" s="189">
        <f>200000*4*3</f>
        <v>2400000</v>
      </c>
    </row>
    <row r="75" spans="1:9" ht="20.100000000000001" customHeight="1" x14ac:dyDescent="0.15">
      <c r="A75" s="65"/>
      <c r="B75" s="73"/>
      <c r="C75" s="46" t="s">
        <v>57</v>
      </c>
      <c r="D75" s="75">
        <v>4368000</v>
      </c>
      <c r="E75" s="75">
        <f>I76+I77+I78</f>
        <v>3880000</v>
      </c>
      <c r="F75" s="75">
        <f t="shared" ref="F75" si="11">E75-D75</f>
        <v>-488000</v>
      </c>
      <c r="G75" s="126">
        <f t="shared" ref="G75" si="12">E75/D75*100</f>
        <v>88.827838827838818</v>
      </c>
      <c r="H75" s="115" t="s">
        <v>57</v>
      </c>
      <c r="I75" s="188"/>
    </row>
    <row r="76" spans="1:9" ht="20.100000000000001" customHeight="1" x14ac:dyDescent="0.15">
      <c r="A76" s="65"/>
      <c r="B76" s="73"/>
      <c r="C76" s="68"/>
      <c r="D76" s="76"/>
      <c r="E76" s="76"/>
      <c r="F76" s="76"/>
      <c r="G76" s="119"/>
      <c r="H76" s="116" t="s">
        <v>132</v>
      </c>
      <c r="I76" s="188">
        <f>300000*12</f>
        <v>3600000</v>
      </c>
    </row>
    <row r="77" spans="1:9" ht="20.100000000000001" customHeight="1" x14ac:dyDescent="0.15">
      <c r="A77" s="65"/>
      <c r="B77" s="73"/>
      <c r="C77" s="68"/>
      <c r="D77" s="76"/>
      <c r="E77" s="76"/>
      <c r="F77" s="76"/>
      <c r="G77" s="119"/>
      <c r="H77" s="116" t="s">
        <v>122</v>
      </c>
      <c r="I77" s="188">
        <f>20000*9</f>
        <v>180000</v>
      </c>
    </row>
    <row r="78" spans="1:9" ht="20.100000000000001" customHeight="1" x14ac:dyDescent="0.15">
      <c r="A78" s="192"/>
      <c r="B78" s="193"/>
      <c r="C78" s="74"/>
      <c r="D78" s="166"/>
      <c r="E78" s="166"/>
      <c r="F78" s="166"/>
      <c r="G78" s="194"/>
      <c r="H78" s="167" t="s">
        <v>124</v>
      </c>
      <c r="I78" s="191">
        <f>50000*2</f>
        <v>100000</v>
      </c>
    </row>
    <row r="79" spans="1:9" ht="20.100000000000001" customHeight="1" x14ac:dyDescent="0.15">
      <c r="A79" s="215" t="s">
        <v>28</v>
      </c>
      <c r="B79" s="52"/>
      <c r="C79" s="224"/>
      <c r="D79" s="199">
        <f>D80</f>
        <v>6283826</v>
      </c>
      <c r="E79" s="199">
        <f>E80</f>
        <v>6665196</v>
      </c>
      <c r="F79" s="199">
        <f t="shared" si="0"/>
        <v>381370</v>
      </c>
      <c r="G79" s="162">
        <f t="shared" ref="G79:G97" si="13">E79/D79*100</f>
        <v>106.06907320476411</v>
      </c>
      <c r="H79" s="113" t="s">
        <v>28</v>
      </c>
      <c r="I79" s="225"/>
    </row>
    <row r="80" spans="1:9" ht="20.100000000000001" customHeight="1" x14ac:dyDescent="0.15">
      <c r="A80" s="240"/>
      <c r="B80" s="155" t="s">
        <v>29</v>
      </c>
      <c r="C80" s="156"/>
      <c r="D80" s="53">
        <f>D81+D85</f>
        <v>6283826</v>
      </c>
      <c r="E80" s="53">
        <f>E81+E85</f>
        <v>6665196</v>
      </c>
      <c r="F80" s="53">
        <f t="shared" si="0"/>
        <v>381370</v>
      </c>
      <c r="G80" s="122">
        <f t="shared" si="13"/>
        <v>106.06907320476411</v>
      </c>
      <c r="H80" s="114" t="s">
        <v>29</v>
      </c>
      <c r="I80" s="186"/>
    </row>
    <row r="81" spans="1:9" ht="20.100000000000001" customHeight="1" x14ac:dyDescent="0.15">
      <c r="A81" s="240"/>
      <c r="B81" s="159"/>
      <c r="C81" s="46" t="s">
        <v>30</v>
      </c>
      <c r="D81" s="75">
        <v>5433826</v>
      </c>
      <c r="E81" s="75">
        <f>I82+I83+I84</f>
        <v>5815196</v>
      </c>
      <c r="F81" s="75">
        <f t="shared" si="0"/>
        <v>381370</v>
      </c>
      <c r="G81" s="142">
        <f t="shared" si="13"/>
        <v>107.01844335832615</v>
      </c>
      <c r="H81" s="131" t="s">
        <v>30</v>
      </c>
      <c r="I81" s="187"/>
    </row>
    <row r="82" spans="1:9" ht="20.100000000000001" customHeight="1" x14ac:dyDescent="0.15">
      <c r="A82" s="64"/>
      <c r="B82" s="146"/>
      <c r="C82" s="68"/>
      <c r="D82" s="76"/>
      <c r="E82" s="76"/>
      <c r="F82" s="76"/>
      <c r="G82" s="142"/>
      <c r="H82" s="163" t="s">
        <v>242</v>
      </c>
      <c r="I82" s="188">
        <f>250000*2</f>
        <v>500000</v>
      </c>
    </row>
    <row r="83" spans="1:9" ht="20.100000000000001" customHeight="1" x14ac:dyDescent="0.15">
      <c r="A83" s="64"/>
      <c r="B83" s="146"/>
      <c r="C83" s="68"/>
      <c r="D83" s="76"/>
      <c r="E83" s="76"/>
      <c r="F83" s="76"/>
      <c r="G83" s="142"/>
      <c r="H83" s="163" t="s">
        <v>240</v>
      </c>
      <c r="I83" s="188">
        <f>204600*12</f>
        <v>2455200</v>
      </c>
    </row>
    <row r="84" spans="1:9" ht="20.100000000000001" customHeight="1" x14ac:dyDescent="0.15">
      <c r="A84" s="64"/>
      <c r="B84" s="146"/>
      <c r="C84" s="68"/>
      <c r="D84" s="76"/>
      <c r="E84" s="76"/>
      <c r="F84" s="76"/>
      <c r="G84" s="122"/>
      <c r="H84" s="163" t="s">
        <v>241</v>
      </c>
      <c r="I84" s="189">
        <f>238333*12</f>
        <v>2859996</v>
      </c>
    </row>
    <row r="85" spans="1:9" ht="20.100000000000001" customHeight="1" x14ac:dyDescent="0.15">
      <c r="A85" s="64"/>
      <c r="B85" s="146"/>
      <c r="C85" s="46" t="s">
        <v>101</v>
      </c>
      <c r="D85" s="75">
        <v>850000</v>
      </c>
      <c r="E85" s="75">
        <f>I86+I87</f>
        <v>850000</v>
      </c>
      <c r="F85" s="75">
        <f t="shared" si="0"/>
        <v>0</v>
      </c>
      <c r="G85" s="142">
        <f t="shared" si="13"/>
        <v>100</v>
      </c>
      <c r="H85" s="131" t="s">
        <v>101</v>
      </c>
      <c r="I85" s="187"/>
    </row>
    <row r="86" spans="1:9" ht="20.100000000000001" customHeight="1" x14ac:dyDescent="0.15">
      <c r="A86" s="64"/>
      <c r="B86" s="159"/>
      <c r="C86" s="68"/>
      <c r="D86" s="76"/>
      <c r="E86" s="76"/>
      <c r="F86" s="76"/>
      <c r="G86" s="142"/>
      <c r="H86" s="163" t="s">
        <v>282</v>
      </c>
      <c r="I86" s="188">
        <f>550000*1</f>
        <v>550000</v>
      </c>
    </row>
    <row r="87" spans="1:9" ht="20.100000000000001" customHeight="1" x14ac:dyDescent="0.15">
      <c r="A87" s="64"/>
      <c r="B87" s="63"/>
      <c r="C87" s="69"/>
      <c r="D87" s="76"/>
      <c r="E87" s="76"/>
      <c r="F87" s="76"/>
      <c r="G87" s="122"/>
      <c r="H87" s="163" t="s">
        <v>133</v>
      </c>
      <c r="I87" s="189">
        <f>300000*1</f>
        <v>300000</v>
      </c>
    </row>
    <row r="88" spans="1:9" ht="20.100000000000001" customHeight="1" x14ac:dyDescent="0.15">
      <c r="A88" s="157" t="s">
        <v>58</v>
      </c>
      <c r="B88" s="52"/>
      <c r="C88" s="156"/>
      <c r="D88" s="54">
        <f>D89+D94+D126</f>
        <v>25387000</v>
      </c>
      <c r="E88" s="54">
        <f>E89+E94+E126</f>
        <v>29347000</v>
      </c>
      <c r="F88" s="54">
        <f>F89+F94+F126</f>
        <v>3960000</v>
      </c>
      <c r="G88" s="123">
        <f t="shared" si="13"/>
        <v>115.59853468310553</v>
      </c>
      <c r="H88" s="114" t="s">
        <v>58</v>
      </c>
      <c r="I88" s="186"/>
    </row>
    <row r="89" spans="1:9" ht="20.100000000000001" customHeight="1" x14ac:dyDescent="0.15">
      <c r="A89" s="65"/>
      <c r="B89" s="155" t="s">
        <v>51</v>
      </c>
      <c r="C89" s="156"/>
      <c r="D89" s="53">
        <f>D90+D92</f>
        <v>14858000</v>
      </c>
      <c r="E89" s="53">
        <f>E90+E92</f>
        <v>15958000</v>
      </c>
      <c r="F89" s="53">
        <f>F90+F92</f>
        <v>1100000</v>
      </c>
      <c r="G89" s="122">
        <f t="shared" si="13"/>
        <v>107.4034190335173</v>
      </c>
      <c r="H89" s="114" t="s">
        <v>51</v>
      </c>
      <c r="I89" s="186"/>
    </row>
    <row r="90" spans="1:9" ht="20.100000000000001" customHeight="1" x14ac:dyDescent="0.15">
      <c r="A90" s="65"/>
      <c r="B90" s="68"/>
      <c r="C90" s="46" t="s">
        <v>59</v>
      </c>
      <c r="D90" s="75">
        <v>14558000</v>
      </c>
      <c r="E90" s="75">
        <f>I91</f>
        <v>15808000</v>
      </c>
      <c r="F90" s="75">
        <f>E90-D90</f>
        <v>1250000</v>
      </c>
      <c r="G90" s="126">
        <f t="shared" si="13"/>
        <v>108.58634427806018</v>
      </c>
      <c r="H90" s="116" t="s">
        <v>59</v>
      </c>
      <c r="I90" s="188"/>
    </row>
    <row r="91" spans="1:9" ht="20.100000000000001" customHeight="1" x14ac:dyDescent="0.15">
      <c r="A91" s="65"/>
      <c r="B91" s="68"/>
      <c r="C91" s="69"/>
      <c r="D91" s="77"/>
      <c r="E91" s="77"/>
      <c r="F91" s="77"/>
      <c r="G91" s="162"/>
      <c r="H91" s="113" t="s">
        <v>286</v>
      </c>
      <c r="I91" s="189">
        <f>1600*40*247</f>
        <v>15808000</v>
      </c>
    </row>
    <row r="92" spans="1:9" ht="20.100000000000001" customHeight="1" x14ac:dyDescent="0.15">
      <c r="A92" s="65"/>
      <c r="B92" s="68"/>
      <c r="C92" s="46" t="s">
        <v>60</v>
      </c>
      <c r="D92" s="75">
        <v>300000</v>
      </c>
      <c r="E92" s="75">
        <f>I93</f>
        <v>150000</v>
      </c>
      <c r="F92" s="75">
        <f>E92-D92</f>
        <v>-150000</v>
      </c>
      <c r="G92" s="126">
        <f t="shared" si="13"/>
        <v>50</v>
      </c>
      <c r="H92" s="115" t="s">
        <v>60</v>
      </c>
      <c r="I92" s="187"/>
    </row>
    <row r="93" spans="1:9" ht="20.100000000000001" customHeight="1" x14ac:dyDescent="0.15">
      <c r="A93" s="65"/>
      <c r="B93" s="73"/>
      <c r="C93" s="69"/>
      <c r="D93" s="77"/>
      <c r="E93" s="77"/>
      <c r="F93" s="77"/>
      <c r="G93" s="122"/>
      <c r="H93" s="113" t="s">
        <v>163</v>
      </c>
      <c r="I93" s="189">
        <f>150000*1</f>
        <v>150000</v>
      </c>
    </row>
    <row r="94" spans="1:9" ht="19.5" customHeight="1" x14ac:dyDescent="0.15">
      <c r="A94" s="66"/>
      <c r="B94" s="155" t="s">
        <v>58</v>
      </c>
      <c r="C94" s="156"/>
      <c r="D94" s="53">
        <f>D95+D97+D111+D113+D116+D124</f>
        <v>6730000</v>
      </c>
      <c r="E94" s="53">
        <f>E95+E97+E111+E113+E116+E124</f>
        <v>10090000</v>
      </c>
      <c r="F94" s="53">
        <f t="shared" ref="F94" si="14">E94-D94</f>
        <v>3360000</v>
      </c>
      <c r="G94" s="164">
        <f t="shared" si="13"/>
        <v>149.92570579494799</v>
      </c>
      <c r="H94" s="114" t="s">
        <v>58</v>
      </c>
      <c r="I94" s="186"/>
    </row>
    <row r="95" spans="1:9" ht="19.5" customHeight="1" x14ac:dyDescent="0.15">
      <c r="A95" s="65"/>
      <c r="B95" s="143"/>
      <c r="C95" s="46" t="s">
        <v>109</v>
      </c>
      <c r="D95" s="75">
        <v>400000</v>
      </c>
      <c r="E95" s="75">
        <f>I96</f>
        <v>600000</v>
      </c>
      <c r="F95" s="75">
        <f>E95-D95</f>
        <v>200000</v>
      </c>
      <c r="G95" s="135">
        <f t="shared" si="13"/>
        <v>150</v>
      </c>
      <c r="H95" s="115" t="s">
        <v>109</v>
      </c>
      <c r="I95" s="187"/>
    </row>
    <row r="96" spans="1:9" ht="19.5" customHeight="1" x14ac:dyDescent="0.15">
      <c r="A96" s="65"/>
      <c r="B96" s="73"/>
      <c r="C96" s="69"/>
      <c r="D96" s="77"/>
      <c r="E96" s="77"/>
      <c r="F96" s="77"/>
      <c r="G96" s="122"/>
      <c r="H96" s="113" t="s">
        <v>130</v>
      </c>
      <c r="I96" s="189">
        <f>300000*2</f>
        <v>600000</v>
      </c>
    </row>
    <row r="97" spans="1:9" ht="20.100000000000001" customHeight="1" x14ac:dyDescent="0.15">
      <c r="A97" s="65"/>
      <c r="B97" s="68"/>
      <c r="C97" s="68" t="s">
        <v>105</v>
      </c>
      <c r="D97" s="76">
        <v>2800000</v>
      </c>
      <c r="E97" s="76">
        <f>I98+I99+I100+I103+I104+I105+I109+I110+I101+I102+I106+I107+I108</f>
        <v>4020000</v>
      </c>
      <c r="F97" s="76">
        <f t="shared" ref="F97" si="15">E97-D97</f>
        <v>1220000</v>
      </c>
      <c r="G97" s="135">
        <f t="shared" si="13"/>
        <v>143.57142857142858</v>
      </c>
      <c r="H97" s="116" t="s">
        <v>105</v>
      </c>
      <c r="I97" s="188"/>
    </row>
    <row r="98" spans="1:9" ht="20.100000000000001" customHeight="1" x14ac:dyDescent="0.15">
      <c r="A98" s="65"/>
      <c r="B98" s="68"/>
      <c r="C98" s="68"/>
      <c r="D98" s="76"/>
      <c r="E98" s="76"/>
      <c r="F98" s="197"/>
      <c r="G98" s="119"/>
      <c r="H98" s="116" t="s">
        <v>245</v>
      </c>
      <c r="I98" s="188">
        <f>50000*4</f>
        <v>200000</v>
      </c>
    </row>
    <row r="99" spans="1:9" ht="20.100000000000001" customHeight="1" x14ac:dyDescent="0.15">
      <c r="A99" s="65"/>
      <c r="B99" s="68"/>
      <c r="C99" s="68"/>
      <c r="D99" s="76"/>
      <c r="E99" s="76"/>
      <c r="F99" s="197"/>
      <c r="G99" s="119"/>
      <c r="H99" s="116" t="s">
        <v>159</v>
      </c>
      <c r="I99" s="188">
        <f>50000*12</f>
        <v>600000</v>
      </c>
    </row>
    <row r="100" spans="1:9" ht="20.100000000000001" customHeight="1" x14ac:dyDescent="0.15">
      <c r="A100" s="65"/>
      <c r="B100" s="68"/>
      <c r="C100" s="68"/>
      <c r="D100" s="76"/>
      <c r="E100" s="76"/>
      <c r="F100" s="197"/>
      <c r="G100" s="119"/>
      <c r="H100" s="116" t="s">
        <v>160</v>
      </c>
      <c r="I100" s="188">
        <f>70000*12</f>
        <v>840000</v>
      </c>
    </row>
    <row r="101" spans="1:9" ht="20.100000000000001" customHeight="1" x14ac:dyDescent="0.15">
      <c r="A101" s="65"/>
      <c r="B101" s="68"/>
      <c r="C101" s="68"/>
      <c r="D101" s="76"/>
      <c r="E101" s="76"/>
      <c r="F101" s="197"/>
      <c r="G101" s="119"/>
      <c r="H101" s="116" t="s">
        <v>248</v>
      </c>
      <c r="I101" s="188">
        <f>15000*24</f>
        <v>360000</v>
      </c>
    </row>
    <row r="102" spans="1:9" ht="20.100000000000001" customHeight="1" x14ac:dyDescent="0.15">
      <c r="A102" s="65"/>
      <c r="B102" s="68"/>
      <c r="C102" s="68"/>
      <c r="D102" s="76"/>
      <c r="E102" s="76"/>
      <c r="F102" s="197"/>
      <c r="G102" s="119"/>
      <c r="H102" s="116" t="s">
        <v>250</v>
      </c>
      <c r="I102" s="188">
        <f>50000*2</f>
        <v>100000</v>
      </c>
    </row>
    <row r="103" spans="1:9" ht="20.100000000000001" customHeight="1" x14ac:dyDescent="0.15">
      <c r="A103" s="192"/>
      <c r="B103" s="74"/>
      <c r="C103" s="74"/>
      <c r="D103" s="166"/>
      <c r="E103" s="166"/>
      <c r="F103" s="198"/>
      <c r="G103" s="194"/>
      <c r="H103" s="167" t="s">
        <v>249</v>
      </c>
      <c r="I103" s="191">
        <f>100000*2</f>
        <v>200000</v>
      </c>
    </row>
    <row r="104" spans="1:9" ht="20.100000000000001" customHeight="1" x14ac:dyDescent="0.15">
      <c r="A104" s="65"/>
      <c r="B104" s="68"/>
      <c r="C104" s="68"/>
      <c r="D104" s="76"/>
      <c r="E104" s="76"/>
      <c r="F104" s="197"/>
      <c r="G104" s="119"/>
      <c r="H104" s="116" t="s">
        <v>244</v>
      </c>
      <c r="I104" s="188">
        <f>50000*4</f>
        <v>200000</v>
      </c>
    </row>
    <row r="105" spans="1:9" ht="20.100000000000001" customHeight="1" x14ac:dyDescent="0.15">
      <c r="A105" s="65"/>
      <c r="B105" s="68"/>
      <c r="C105" s="68"/>
      <c r="D105" s="76"/>
      <c r="E105" s="76"/>
      <c r="F105" s="197"/>
      <c r="G105" s="119"/>
      <c r="H105" s="116" t="s">
        <v>246</v>
      </c>
      <c r="I105" s="188">
        <f>5000*40*1</f>
        <v>200000</v>
      </c>
    </row>
    <row r="106" spans="1:9" ht="20.100000000000001" customHeight="1" x14ac:dyDescent="0.15">
      <c r="A106" s="65"/>
      <c r="B106" s="68"/>
      <c r="C106" s="68"/>
      <c r="D106" s="76"/>
      <c r="E106" s="76"/>
      <c r="F106" s="197"/>
      <c r="G106" s="119"/>
      <c r="H106" s="116" t="s">
        <v>251</v>
      </c>
      <c r="I106" s="188">
        <f>60000*12</f>
        <v>720000</v>
      </c>
    </row>
    <row r="107" spans="1:9" ht="20.100000000000001" customHeight="1" x14ac:dyDescent="0.15">
      <c r="A107" s="65"/>
      <c r="B107" s="68"/>
      <c r="C107" s="68"/>
      <c r="D107" s="76"/>
      <c r="E107" s="76"/>
      <c r="F107" s="197"/>
      <c r="G107" s="119"/>
      <c r="H107" s="116" t="s">
        <v>253</v>
      </c>
      <c r="I107" s="188">
        <f>50000*4</f>
        <v>200000</v>
      </c>
    </row>
    <row r="108" spans="1:9" ht="20.100000000000001" customHeight="1" x14ac:dyDescent="0.15">
      <c r="A108" s="65"/>
      <c r="B108" s="68"/>
      <c r="C108" s="68"/>
      <c r="D108" s="76"/>
      <c r="E108" s="76"/>
      <c r="F108" s="197"/>
      <c r="G108" s="119"/>
      <c r="H108" s="116" t="s">
        <v>252</v>
      </c>
      <c r="I108" s="188">
        <f>70000*2</f>
        <v>140000</v>
      </c>
    </row>
    <row r="109" spans="1:9" ht="20.100000000000001" customHeight="1" x14ac:dyDescent="0.15">
      <c r="A109" s="65"/>
      <c r="B109" s="68"/>
      <c r="C109" s="68"/>
      <c r="D109" s="76"/>
      <c r="E109" s="76"/>
      <c r="F109" s="197"/>
      <c r="G109" s="119"/>
      <c r="H109" s="116" t="s">
        <v>247</v>
      </c>
      <c r="I109" s="188">
        <f>20000*3</f>
        <v>60000</v>
      </c>
    </row>
    <row r="110" spans="1:9" ht="20.100000000000001" customHeight="1" x14ac:dyDescent="0.15">
      <c r="A110" s="65"/>
      <c r="B110" s="68"/>
      <c r="C110" s="68"/>
      <c r="D110" s="76"/>
      <c r="E110" s="76"/>
      <c r="F110" s="197"/>
      <c r="G110" s="119"/>
      <c r="H110" s="116" t="s">
        <v>134</v>
      </c>
      <c r="I110" s="189">
        <f>50000*4</f>
        <v>200000</v>
      </c>
    </row>
    <row r="111" spans="1:9" ht="20.100000000000001" customHeight="1" x14ac:dyDescent="0.15">
      <c r="A111" s="65"/>
      <c r="B111" s="73"/>
      <c r="C111" s="46" t="s">
        <v>61</v>
      </c>
      <c r="D111" s="75">
        <v>50000</v>
      </c>
      <c r="E111" s="75">
        <f>I112</f>
        <v>200000</v>
      </c>
      <c r="F111" s="75">
        <f>E111-D111</f>
        <v>150000</v>
      </c>
      <c r="G111" s="126">
        <f t="shared" ref="G111" si="16">E111/D111*100</f>
        <v>400</v>
      </c>
      <c r="H111" s="115" t="s">
        <v>61</v>
      </c>
      <c r="I111" s="188"/>
    </row>
    <row r="112" spans="1:9" ht="20.100000000000001" customHeight="1" x14ac:dyDescent="0.15">
      <c r="A112" s="65"/>
      <c r="B112" s="73"/>
      <c r="C112" s="68"/>
      <c r="D112" s="76"/>
      <c r="E112" s="76"/>
      <c r="F112" s="197"/>
      <c r="G112" s="119"/>
      <c r="H112" s="116" t="s">
        <v>254</v>
      </c>
      <c r="I112" s="189">
        <f>50000*4</f>
        <v>200000</v>
      </c>
    </row>
    <row r="113" spans="1:9" ht="20.100000000000001" customHeight="1" x14ac:dyDescent="0.15">
      <c r="A113" s="65"/>
      <c r="B113" s="68"/>
      <c r="C113" s="46" t="s">
        <v>106</v>
      </c>
      <c r="D113" s="75">
        <v>200000</v>
      </c>
      <c r="E113" s="75">
        <f>I114+I115</f>
        <v>410000</v>
      </c>
      <c r="F113" s="75">
        <f>E113-D113</f>
        <v>210000</v>
      </c>
      <c r="G113" s="126">
        <f t="shared" ref="G113" si="17">E113/D113*100</f>
        <v>204.99999999999997</v>
      </c>
      <c r="H113" s="115" t="s">
        <v>106</v>
      </c>
      <c r="I113" s="188"/>
    </row>
    <row r="114" spans="1:9" ht="20.100000000000001" customHeight="1" x14ac:dyDescent="0.15">
      <c r="A114" s="65"/>
      <c r="B114" s="68"/>
      <c r="C114" s="68"/>
      <c r="D114" s="76"/>
      <c r="E114" s="76"/>
      <c r="F114" s="197"/>
      <c r="G114" s="119"/>
      <c r="H114" s="116" t="s">
        <v>255</v>
      </c>
      <c r="I114" s="188">
        <f>50000*4</f>
        <v>200000</v>
      </c>
    </row>
    <row r="115" spans="1:9" ht="20.100000000000001" customHeight="1" x14ac:dyDescent="0.15">
      <c r="A115" s="65"/>
      <c r="B115" s="68"/>
      <c r="C115" s="68"/>
      <c r="D115" s="76"/>
      <c r="E115" s="76"/>
      <c r="F115" s="197"/>
      <c r="G115" s="119"/>
      <c r="H115" s="116" t="s">
        <v>256</v>
      </c>
      <c r="I115" s="188">
        <f>35000*6</f>
        <v>210000</v>
      </c>
    </row>
    <row r="116" spans="1:9" ht="20.100000000000001" customHeight="1" x14ac:dyDescent="0.15">
      <c r="A116" s="65"/>
      <c r="B116" s="68"/>
      <c r="C116" s="46" t="s">
        <v>107</v>
      </c>
      <c r="D116" s="75">
        <v>2680000</v>
      </c>
      <c r="E116" s="75">
        <f>I117+I118+I119+I120+I121+I122+I123</f>
        <v>4260000</v>
      </c>
      <c r="F116" s="75">
        <f>E116-D116</f>
        <v>1580000</v>
      </c>
      <c r="G116" s="126">
        <f t="shared" ref="G116" si="18">E116/D116*100</f>
        <v>158.95522388059703</v>
      </c>
      <c r="H116" s="129" t="s">
        <v>107</v>
      </c>
      <c r="I116" s="187"/>
    </row>
    <row r="117" spans="1:9" ht="20.100000000000001" customHeight="1" x14ac:dyDescent="0.15">
      <c r="A117" s="65"/>
      <c r="B117" s="68"/>
      <c r="C117" s="68"/>
      <c r="D117" s="76"/>
      <c r="E117" s="76"/>
      <c r="F117" s="76"/>
      <c r="G117" s="135"/>
      <c r="H117" s="132" t="s">
        <v>257</v>
      </c>
      <c r="I117" s="188">
        <f>65000*12</f>
        <v>780000</v>
      </c>
    </row>
    <row r="118" spans="1:9" ht="20.100000000000001" customHeight="1" x14ac:dyDescent="0.15">
      <c r="A118" s="65"/>
      <c r="B118" s="68"/>
      <c r="C118" s="68"/>
      <c r="D118" s="76"/>
      <c r="E118" s="76"/>
      <c r="F118" s="76"/>
      <c r="G118" s="135"/>
      <c r="H118" s="132" t="s">
        <v>118</v>
      </c>
      <c r="I118" s="188">
        <f>6000*40*1</f>
        <v>240000</v>
      </c>
    </row>
    <row r="119" spans="1:9" ht="20.100000000000001" customHeight="1" x14ac:dyDescent="0.15">
      <c r="A119" s="65"/>
      <c r="B119" s="68"/>
      <c r="C119" s="68"/>
      <c r="D119" s="76"/>
      <c r="E119" s="76"/>
      <c r="F119" s="76"/>
      <c r="G119" s="135"/>
      <c r="H119" s="132" t="s">
        <v>120</v>
      </c>
      <c r="I119" s="188">
        <f>400000*2</f>
        <v>800000</v>
      </c>
    </row>
    <row r="120" spans="1:9" ht="20.100000000000001" customHeight="1" x14ac:dyDescent="0.15">
      <c r="A120" s="65"/>
      <c r="B120" s="68"/>
      <c r="C120" s="68"/>
      <c r="D120" s="76"/>
      <c r="E120" s="76"/>
      <c r="F120" s="76"/>
      <c r="G120" s="135"/>
      <c r="H120" s="132" t="s">
        <v>135</v>
      </c>
      <c r="I120" s="188">
        <f>150000*4</f>
        <v>600000</v>
      </c>
    </row>
    <row r="121" spans="1:9" ht="20.100000000000001" customHeight="1" x14ac:dyDescent="0.15">
      <c r="A121" s="65"/>
      <c r="B121" s="68"/>
      <c r="C121" s="68"/>
      <c r="D121" s="76"/>
      <c r="E121" s="76"/>
      <c r="F121" s="76"/>
      <c r="G121" s="135"/>
      <c r="H121" s="132" t="s">
        <v>161</v>
      </c>
      <c r="I121" s="188">
        <f>188000*5</f>
        <v>940000</v>
      </c>
    </row>
    <row r="122" spans="1:9" ht="20.100000000000001" customHeight="1" x14ac:dyDescent="0.15">
      <c r="A122" s="65"/>
      <c r="B122" s="68"/>
      <c r="C122" s="68"/>
      <c r="D122" s="76"/>
      <c r="E122" s="76"/>
      <c r="F122" s="197"/>
      <c r="G122" s="119"/>
      <c r="H122" s="132" t="s">
        <v>287</v>
      </c>
      <c r="I122" s="188">
        <f>600000*1</f>
        <v>600000</v>
      </c>
    </row>
    <row r="123" spans="1:9" ht="20.100000000000001" customHeight="1" x14ac:dyDescent="0.15">
      <c r="A123" s="65"/>
      <c r="B123" s="68"/>
      <c r="C123" s="68"/>
      <c r="D123" s="76"/>
      <c r="E123" s="76"/>
      <c r="F123" s="197"/>
      <c r="G123" s="119"/>
      <c r="H123" s="132" t="s">
        <v>258</v>
      </c>
      <c r="I123" s="189">
        <f>150000*2</f>
        <v>300000</v>
      </c>
    </row>
    <row r="124" spans="1:9" ht="20.100000000000001" customHeight="1" x14ac:dyDescent="0.15">
      <c r="A124" s="65"/>
      <c r="B124" s="68"/>
      <c r="C124" s="46" t="s">
        <v>108</v>
      </c>
      <c r="D124" s="75">
        <v>600000</v>
      </c>
      <c r="E124" s="75">
        <f>I125</f>
        <v>600000</v>
      </c>
      <c r="F124" s="75">
        <f>E124-D124</f>
        <v>0</v>
      </c>
      <c r="G124" s="126">
        <f t="shared" ref="G124" si="19">E124/D124*100</f>
        <v>100</v>
      </c>
      <c r="H124" s="129" t="s">
        <v>62</v>
      </c>
      <c r="I124" s="188"/>
    </row>
    <row r="125" spans="1:9" ht="20.100000000000001" customHeight="1" x14ac:dyDescent="0.15">
      <c r="A125" s="65"/>
      <c r="B125" s="68"/>
      <c r="C125" s="68"/>
      <c r="D125" s="76"/>
      <c r="E125" s="76"/>
      <c r="F125" s="197"/>
      <c r="G125" s="119"/>
      <c r="H125" s="132" t="s">
        <v>123</v>
      </c>
      <c r="I125" s="188">
        <f>150000*4</f>
        <v>600000</v>
      </c>
    </row>
    <row r="126" spans="1:9" ht="19.5" customHeight="1" x14ac:dyDescent="0.15">
      <c r="A126" s="65"/>
      <c r="B126" s="155" t="s">
        <v>63</v>
      </c>
      <c r="C126" s="156"/>
      <c r="D126" s="144">
        <f>D127+D129+D134+D137</f>
        <v>3799000</v>
      </c>
      <c r="E126" s="144">
        <f>E127+E129+E134+E137</f>
        <v>3299000</v>
      </c>
      <c r="F126" s="53">
        <f t="shared" ref="F126:F127" si="20">E126-D126</f>
        <v>-500000</v>
      </c>
      <c r="G126" s="123">
        <f t="shared" ref="G126:G129" si="21">E126/D126*100</f>
        <v>86.838641747828376</v>
      </c>
      <c r="H126" s="114" t="s">
        <v>63</v>
      </c>
      <c r="I126" s="186"/>
    </row>
    <row r="127" spans="1:9" ht="20.100000000000001" customHeight="1" x14ac:dyDescent="0.15">
      <c r="A127" s="65"/>
      <c r="B127" s="68"/>
      <c r="C127" s="46" t="s">
        <v>64</v>
      </c>
      <c r="D127" s="75">
        <v>3000000</v>
      </c>
      <c r="E127" s="75">
        <f>I128</f>
        <v>1000000</v>
      </c>
      <c r="F127" s="75">
        <f t="shared" si="20"/>
        <v>-2000000</v>
      </c>
      <c r="G127" s="126">
        <f t="shared" si="21"/>
        <v>33.333333333333329</v>
      </c>
      <c r="H127" s="115" t="s">
        <v>66</v>
      </c>
      <c r="I127" s="188"/>
    </row>
    <row r="128" spans="1:9" ht="20.100000000000001" customHeight="1" x14ac:dyDescent="0.15">
      <c r="A128" s="192"/>
      <c r="B128" s="74"/>
      <c r="C128" s="74"/>
      <c r="D128" s="166"/>
      <c r="E128" s="166"/>
      <c r="F128" s="198"/>
      <c r="G128" s="194"/>
      <c r="H128" s="167" t="s">
        <v>131</v>
      </c>
      <c r="I128" s="191">
        <f>250000*4</f>
        <v>1000000</v>
      </c>
    </row>
    <row r="129" spans="1:9" ht="20.100000000000001" customHeight="1" x14ac:dyDescent="0.15">
      <c r="A129" s="65"/>
      <c r="B129" s="68"/>
      <c r="C129" s="68" t="s">
        <v>65</v>
      </c>
      <c r="D129" s="76">
        <v>399000</v>
      </c>
      <c r="E129" s="76">
        <f>I130+I131+I132+I133</f>
        <v>1299000</v>
      </c>
      <c r="F129" s="76">
        <f>E129-D129</f>
        <v>900000</v>
      </c>
      <c r="G129" s="135">
        <f t="shared" si="21"/>
        <v>325.56390977443613</v>
      </c>
      <c r="H129" s="116" t="s">
        <v>67</v>
      </c>
      <c r="I129" s="188"/>
    </row>
    <row r="130" spans="1:9" ht="20.100000000000001" customHeight="1" x14ac:dyDescent="0.15">
      <c r="A130" s="65"/>
      <c r="B130" s="68"/>
      <c r="C130" s="68"/>
      <c r="D130" s="76"/>
      <c r="E130" s="76"/>
      <c r="F130" s="197"/>
      <c r="G130" s="119"/>
      <c r="H130" s="116" t="s">
        <v>158</v>
      </c>
      <c r="I130" s="188">
        <f>500000*2</f>
        <v>1000000</v>
      </c>
    </row>
    <row r="131" spans="1:9" ht="20.100000000000001" customHeight="1" x14ac:dyDescent="0.15">
      <c r="A131" s="65"/>
      <c r="B131" s="68"/>
      <c r="C131" s="68"/>
      <c r="D131" s="76"/>
      <c r="E131" s="76"/>
      <c r="F131" s="197"/>
      <c r="G131" s="119"/>
      <c r="H131" s="116" t="s">
        <v>243</v>
      </c>
      <c r="I131" s="188">
        <f>24000*6</f>
        <v>144000</v>
      </c>
    </row>
    <row r="132" spans="1:9" ht="20.100000000000001" customHeight="1" x14ac:dyDescent="0.15">
      <c r="A132" s="65"/>
      <c r="B132" s="68"/>
      <c r="C132" s="68"/>
      <c r="D132" s="76"/>
      <c r="E132" s="76"/>
      <c r="F132" s="197"/>
      <c r="G132" s="119"/>
      <c r="H132" s="116" t="s">
        <v>74</v>
      </c>
      <c r="I132" s="188">
        <f>35000*1</f>
        <v>35000</v>
      </c>
    </row>
    <row r="133" spans="1:9" ht="20.100000000000001" customHeight="1" x14ac:dyDescent="0.15">
      <c r="A133" s="65"/>
      <c r="B133" s="68"/>
      <c r="C133" s="78"/>
      <c r="D133" s="76"/>
      <c r="E133" s="76"/>
      <c r="F133" s="197"/>
      <c r="G133" s="119"/>
      <c r="H133" s="116" t="s">
        <v>145</v>
      </c>
      <c r="I133" s="189">
        <f>30000*4</f>
        <v>120000</v>
      </c>
    </row>
    <row r="134" spans="1:9" ht="20.100000000000001" customHeight="1" x14ac:dyDescent="0.15">
      <c r="A134" s="65"/>
      <c r="B134" s="68"/>
      <c r="C134" s="79" t="s">
        <v>75</v>
      </c>
      <c r="D134" s="75">
        <v>100000</v>
      </c>
      <c r="E134" s="75">
        <f>I135+I136</f>
        <v>800000</v>
      </c>
      <c r="F134" s="75">
        <f>E134-D134</f>
        <v>700000</v>
      </c>
      <c r="G134" s="126">
        <f t="shared" ref="G134" si="22">E134/D134*100</f>
        <v>800</v>
      </c>
      <c r="H134" s="115" t="s">
        <v>68</v>
      </c>
      <c r="I134" s="188"/>
    </row>
    <row r="135" spans="1:9" ht="20.100000000000001" customHeight="1" x14ac:dyDescent="0.15">
      <c r="A135" s="65"/>
      <c r="B135" s="68"/>
      <c r="C135" s="68"/>
      <c r="D135" s="76"/>
      <c r="E135" s="76"/>
      <c r="F135" s="197"/>
      <c r="G135" s="119"/>
      <c r="H135" s="116" t="s">
        <v>119</v>
      </c>
      <c r="I135" s="188">
        <f>200000*2</f>
        <v>400000</v>
      </c>
    </row>
    <row r="136" spans="1:9" ht="20.100000000000001" customHeight="1" x14ac:dyDescent="0.15">
      <c r="A136" s="65"/>
      <c r="B136" s="68"/>
      <c r="C136" s="68"/>
      <c r="D136" s="76"/>
      <c r="E136" s="76"/>
      <c r="F136" s="197"/>
      <c r="G136" s="119"/>
      <c r="H136" s="116" t="s">
        <v>125</v>
      </c>
      <c r="I136" s="188">
        <f>200000*2</f>
        <v>400000</v>
      </c>
    </row>
    <row r="137" spans="1:9" ht="20.100000000000001" customHeight="1" x14ac:dyDescent="0.15">
      <c r="A137" s="65"/>
      <c r="B137" s="68"/>
      <c r="C137" s="46" t="s">
        <v>69</v>
      </c>
      <c r="D137" s="75">
        <v>300000</v>
      </c>
      <c r="E137" s="75">
        <f>I138</f>
        <v>200000</v>
      </c>
      <c r="F137" s="75">
        <f>E137-D137</f>
        <v>-100000</v>
      </c>
      <c r="G137" s="126">
        <f t="shared" ref="G137" si="23">E137/D137*100</f>
        <v>66.666666666666657</v>
      </c>
      <c r="H137" s="115" t="s">
        <v>69</v>
      </c>
      <c r="I137" s="187"/>
    </row>
    <row r="138" spans="1:9" ht="20.100000000000001" customHeight="1" x14ac:dyDescent="0.15">
      <c r="A138" s="65"/>
      <c r="B138" s="68"/>
      <c r="C138" s="68"/>
      <c r="D138" s="76"/>
      <c r="E138" s="76"/>
      <c r="F138" s="197"/>
      <c r="G138" s="120"/>
      <c r="H138" s="116" t="s">
        <v>260</v>
      </c>
      <c r="I138" s="188">
        <f>100000*2</f>
        <v>200000</v>
      </c>
    </row>
    <row r="139" spans="1:9" ht="20.100000000000001" customHeight="1" x14ac:dyDescent="0.15">
      <c r="A139" s="157" t="s">
        <v>70</v>
      </c>
      <c r="B139" s="158"/>
      <c r="C139" s="156"/>
      <c r="D139" s="54">
        <f>D140</f>
        <v>254044</v>
      </c>
      <c r="E139" s="54">
        <f>E140</f>
        <v>120179</v>
      </c>
      <c r="F139" s="54">
        <f t="shared" si="0"/>
        <v>-133865</v>
      </c>
      <c r="G139" s="122">
        <f t="shared" ref="G139:G143" si="24">E139/D139*100</f>
        <v>47.306372124513864</v>
      </c>
      <c r="H139" s="114" t="s">
        <v>70</v>
      </c>
      <c r="I139" s="186"/>
    </row>
    <row r="140" spans="1:9" ht="20.100000000000001" customHeight="1" x14ac:dyDescent="0.15">
      <c r="A140" s="65"/>
      <c r="B140" s="155" t="s">
        <v>70</v>
      </c>
      <c r="C140" s="156"/>
      <c r="D140" s="53">
        <f>D141+D143</f>
        <v>254044</v>
      </c>
      <c r="E140" s="53">
        <f>E141+E143</f>
        <v>120179</v>
      </c>
      <c r="F140" s="53">
        <f t="shared" si="0"/>
        <v>-133865</v>
      </c>
      <c r="G140" s="122">
        <f t="shared" si="24"/>
        <v>47.306372124513864</v>
      </c>
      <c r="H140" s="114" t="s">
        <v>70</v>
      </c>
      <c r="I140" s="186"/>
    </row>
    <row r="141" spans="1:9" ht="20.100000000000001" customHeight="1" x14ac:dyDescent="0.15">
      <c r="A141" s="65"/>
      <c r="B141" s="73"/>
      <c r="C141" s="46" t="s">
        <v>71</v>
      </c>
      <c r="D141" s="75">
        <v>154044</v>
      </c>
      <c r="E141" s="75">
        <f>I142</f>
        <v>100179</v>
      </c>
      <c r="F141" s="75">
        <f t="shared" si="0"/>
        <v>-53865</v>
      </c>
      <c r="G141" s="142">
        <f t="shared" si="24"/>
        <v>65.032717924748766</v>
      </c>
      <c r="H141" s="131" t="s">
        <v>71</v>
      </c>
      <c r="I141" s="187"/>
    </row>
    <row r="142" spans="1:9" ht="20.100000000000001" customHeight="1" x14ac:dyDescent="0.15">
      <c r="A142" s="65"/>
      <c r="B142" s="73"/>
      <c r="C142" s="69"/>
      <c r="D142" s="77"/>
      <c r="E142" s="77"/>
      <c r="F142" s="77"/>
      <c r="G142" s="122"/>
      <c r="H142" s="168" t="s">
        <v>289</v>
      </c>
      <c r="I142" s="189">
        <f>100179*1</f>
        <v>100179</v>
      </c>
    </row>
    <row r="143" spans="1:9" ht="20.100000000000001" customHeight="1" x14ac:dyDescent="0.15">
      <c r="A143" s="65"/>
      <c r="B143" s="73"/>
      <c r="C143" s="46" t="s">
        <v>164</v>
      </c>
      <c r="D143" s="75">
        <v>100000</v>
      </c>
      <c r="E143" s="75">
        <f>I144</f>
        <v>20000</v>
      </c>
      <c r="F143" s="75">
        <f t="shared" si="0"/>
        <v>-80000</v>
      </c>
      <c r="G143" s="126">
        <f t="shared" si="24"/>
        <v>20</v>
      </c>
      <c r="H143" s="131" t="s">
        <v>164</v>
      </c>
      <c r="I143" s="188"/>
    </row>
    <row r="144" spans="1:9" ht="20.100000000000001" customHeight="1" x14ac:dyDescent="0.15">
      <c r="A144" s="67"/>
      <c r="B144" s="74"/>
      <c r="C144" s="74"/>
      <c r="D144" s="166"/>
      <c r="E144" s="166"/>
      <c r="F144" s="166"/>
      <c r="G144" s="125"/>
      <c r="H144" s="167" t="s">
        <v>165</v>
      </c>
      <c r="I144" s="191">
        <f>20000*1</f>
        <v>20000</v>
      </c>
    </row>
  </sheetData>
  <mergeCells count="9">
    <mergeCell ref="F4:G4"/>
    <mergeCell ref="H4:I5"/>
    <mergeCell ref="A6:C6"/>
    <mergeCell ref="H3:I3"/>
    <mergeCell ref="A80:A81"/>
    <mergeCell ref="A3:C3"/>
    <mergeCell ref="A4:C4"/>
    <mergeCell ref="D4:D5"/>
    <mergeCell ref="E4:E5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firstPageNumber="3" orientation="landscape" useFirstPageNumber="1" r:id="rId1"/>
  <headerFooter alignWithMargins="0">
    <oddFooter>&amp;R참좋은기억학교(2021.11.30)</oddFooter>
  </headerFooter>
  <rowBreaks count="5" manualBreakCount="5">
    <brk id="28" max="8" man="1"/>
    <brk id="53" max="8" man="1"/>
    <brk id="78" max="8" man="1"/>
    <brk id="103" max="8" man="1"/>
    <brk id="12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9"/>
  <sheetViews>
    <sheetView view="pageBreakPreview" zoomScaleNormal="100" zoomScaleSheetLayoutView="100" workbookViewId="0">
      <selection activeCell="C55" sqref="C55:E55"/>
    </sheetView>
  </sheetViews>
  <sheetFormatPr defaultRowHeight="13.5" x14ac:dyDescent="0.15"/>
  <cols>
    <col min="1" max="1" width="13.44140625" style="85" customWidth="1"/>
    <col min="2" max="2" width="15.6640625" style="86" customWidth="1"/>
    <col min="3" max="3" width="12.88671875" style="179" customWidth="1"/>
    <col min="4" max="4" width="12.77734375" style="179" customWidth="1"/>
    <col min="5" max="5" width="12.88671875" style="179" customWidth="1"/>
    <col min="6" max="16384" width="8.88671875" style="85"/>
  </cols>
  <sheetData>
    <row r="1" spans="1:5" ht="46.5" customHeight="1" x14ac:dyDescent="0.15">
      <c r="A1" s="286" t="s">
        <v>262</v>
      </c>
      <c r="B1" s="286"/>
      <c r="C1" s="286"/>
      <c r="D1" s="286"/>
      <c r="E1" s="286"/>
    </row>
    <row r="2" spans="1:5" ht="23.1" customHeight="1" x14ac:dyDescent="0.15">
      <c r="A2" s="288" t="s">
        <v>181</v>
      </c>
      <c r="B2" s="288"/>
      <c r="C2" s="177"/>
      <c r="D2" s="177"/>
      <c r="E2" s="177"/>
    </row>
    <row r="3" spans="1:5" ht="23.1" customHeight="1" x14ac:dyDescent="0.15">
      <c r="A3" s="287" t="s">
        <v>178</v>
      </c>
      <c r="B3" s="287"/>
      <c r="C3" s="175"/>
      <c r="D3" s="176"/>
      <c r="E3" s="175" t="s">
        <v>179</v>
      </c>
    </row>
    <row r="4" spans="1:5" ht="23.1" customHeight="1" thickBot="1" x14ac:dyDescent="0.2">
      <c r="A4" s="200" t="s">
        <v>3</v>
      </c>
      <c r="B4" s="201" t="s">
        <v>18</v>
      </c>
      <c r="C4" s="202" t="s">
        <v>199</v>
      </c>
      <c r="D4" s="202" t="s">
        <v>200</v>
      </c>
      <c r="E4" s="203" t="s">
        <v>96</v>
      </c>
    </row>
    <row r="5" spans="1:5" ht="20.100000000000001" customHeight="1" thickTop="1" x14ac:dyDescent="0.15">
      <c r="A5" s="289"/>
      <c r="B5" s="290"/>
      <c r="C5" s="101">
        <f>SUM(C6:C15)</f>
        <v>380163000</v>
      </c>
      <c r="D5" s="101">
        <f>SUM(D6:D15)</f>
        <v>418713000</v>
      </c>
      <c r="E5" s="106">
        <f t="shared" ref="E5:E14" si="0">D5-C5</f>
        <v>38550000</v>
      </c>
    </row>
    <row r="6" spans="1:5" ht="20.100000000000001" customHeight="1" x14ac:dyDescent="0.15">
      <c r="A6" s="228" t="str">
        <f>[1]세입!C8</f>
        <v>입소비용수입</v>
      </c>
      <c r="B6" s="169" t="str">
        <f>[1]세입!D9</f>
        <v>입소비용수입</v>
      </c>
      <c r="C6" s="89">
        <v>42419000</v>
      </c>
      <c r="D6" s="89">
        <v>46930000</v>
      </c>
      <c r="E6" s="107">
        <f t="shared" si="0"/>
        <v>4511000</v>
      </c>
    </row>
    <row r="7" spans="1:5" ht="20.100000000000001" customHeight="1" x14ac:dyDescent="0.15">
      <c r="A7" s="229"/>
      <c r="B7" s="170"/>
      <c r="C7" s="274" t="s">
        <v>264</v>
      </c>
      <c r="D7" s="275"/>
      <c r="E7" s="276"/>
    </row>
    <row r="8" spans="1:5" ht="20.100000000000001" customHeight="1" x14ac:dyDescent="0.15">
      <c r="A8" s="228" t="s">
        <v>139</v>
      </c>
      <c r="B8" s="169" t="s">
        <v>154</v>
      </c>
      <c r="C8" s="89">
        <v>328188450</v>
      </c>
      <c r="D8" s="89">
        <v>358352900</v>
      </c>
      <c r="E8" s="107">
        <f t="shared" ref="E8" si="1">D8-C8</f>
        <v>30164450</v>
      </c>
    </row>
    <row r="9" spans="1:5" ht="20.100000000000001" customHeight="1" x14ac:dyDescent="0.15">
      <c r="A9" s="230"/>
      <c r="B9" s="170"/>
      <c r="C9" s="274" t="s">
        <v>263</v>
      </c>
      <c r="D9" s="275"/>
      <c r="E9" s="276"/>
    </row>
    <row r="10" spans="1:5" ht="20.100000000000001" customHeight="1" x14ac:dyDescent="0.15">
      <c r="A10" s="228" t="s">
        <v>140</v>
      </c>
      <c r="B10" s="169" t="s">
        <v>97</v>
      </c>
      <c r="C10" s="140">
        <v>28070</v>
      </c>
      <c r="D10" s="138">
        <v>30100</v>
      </c>
      <c r="E10" s="136">
        <f t="shared" ref="E10" si="2">D10-C10</f>
        <v>2030</v>
      </c>
    </row>
    <row r="11" spans="1:5" ht="20.100000000000001" customHeight="1" x14ac:dyDescent="0.15">
      <c r="A11" s="230"/>
      <c r="B11" s="170"/>
      <c r="C11" s="274" t="s">
        <v>266</v>
      </c>
      <c r="D11" s="275"/>
      <c r="E11" s="276"/>
    </row>
    <row r="12" spans="1:5" ht="20.100000000000001" customHeight="1" x14ac:dyDescent="0.15">
      <c r="A12" s="230"/>
      <c r="B12" s="171" t="s">
        <v>166</v>
      </c>
      <c r="C12" s="140">
        <v>3680000</v>
      </c>
      <c r="D12" s="138">
        <v>4400000</v>
      </c>
      <c r="E12" s="136">
        <f t="shared" ref="E12" si="3">D12-C12</f>
        <v>720000</v>
      </c>
    </row>
    <row r="13" spans="1:5" ht="20.100000000000001" customHeight="1" x14ac:dyDescent="0.15">
      <c r="A13" s="230"/>
      <c r="B13" s="171"/>
      <c r="C13" s="274" t="s">
        <v>265</v>
      </c>
      <c r="D13" s="275"/>
      <c r="E13" s="276"/>
    </row>
    <row r="14" spans="1:5" ht="20.100000000000001" customHeight="1" x14ac:dyDescent="0.15">
      <c r="A14" s="228" t="s">
        <v>141</v>
      </c>
      <c r="B14" s="169" t="s">
        <v>141</v>
      </c>
      <c r="C14" s="140">
        <v>5847480</v>
      </c>
      <c r="D14" s="138">
        <v>9000000</v>
      </c>
      <c r="E14" s="136">
        <f t="shared" si="0"/>
        <v>3152520</v>
      </c>
    </row>
    <row r="15" spans="1:5" ht="20.100000000000001" customHeight="1" x14ac:dyDescent="0.15">
      <c r="A15" s="231"/>
      <c r="B15" s="172"/>
      <c r="C15" s="271" t="s">
        <v>182</v>
      </c>
      <c r="D15" s="272"/>
      <c r="E15" s="273"/>
    </row>
    <row r="16" spans="1:5" ht="23.1" customHeight="1" x14ac:dyDescent="0.15">
      <c r="A16" s="94"/>
      <c r="B16" s="95"/>
      <c r="C16" s="96"/>
      <c r="D16" s="97"/>
      <c r="E16" s="96"/>
    </row>
    <row r="17" spans="1:5" ht="23.1" customHeight="1" x14ac:dyDescent="0.15">
      <c r="A17" s="287" t="s">
        <v>180</v>
      </c>
      <c r="B17" s="287"/>
      <c r="C17" s="87"/>
      <c r="D17" s="88"/>
      <c r="E17" s="87" t="s">
        <v>179</v>
      </c>
    </row>
    <row r="18" spans="1:5" ht="23.1" customHeight="1" thickBot="1" x14ac:dyDescent="0.2">
      <c r="A18" s="200" t="s">
        <v>3</v>
      </c>
      <c r="B18" s="201" t="s">
        <v>18</v>
      </c>
      <c r="C18" s="202" t="s">
        <v>199</v>
      </c>
      <c r="D18" s="202" t="s">
        <v>200</v>
      </c>
      <c r="E18" s="203" t="s">
        <v>96</v>
      </c>
    </row>
    <row r="19" spans="1:5" ht="20.100000000000001" customHeight="1" thickTop="1" x14ac:dyDescent="0.15">
      <c r="A19" s="289"/>
      <c r="B19" s="290"/>
      <c r="C19" s="204">
        <f>SUM(C20:C71)</f>
        <v>370313000</v>
      </c>
      <c r="D19" s="101">
        <f>SUM(D20:D71)</f>
        <v>408863000</v>
      </c>
      <c r="E19" s="106">
        <f t="shared" ref="E19" si="4">D19-C19</f>
        <v>38550000</v>
      </c>
    </row>
    <row r="20" spans="1:5" ht="20.100000000000001" customHeight="1" x14ac:dyDescent="0.15">
      <c r="A20" s="232" t="str">
        <f>[1]세출!C9</f>
        <v>인건비</v>
      </c>
      <c r="B20" s="152" t="str">
        <f>[1]세출!D10</f>
        <v>급여</v>
      </c>
      <c r="C20" s="89">
        <v>238478530</v>
      </c>
      <c r="D20" s="89">
        <v>251456000</v>
      </c>
      <c r="E20" s="108">
        <f t="shared" ref="E20:E70" si="5">D20-C20</f>
        <v>12977470</v>
      </c>
    </row>
    <row r="21" spans="1:5" ht="20.100000000000001" customHeight="1" x14ac:dyDescent="0.15">
      <c r="A21" s="233"/>
      <c r="B21" s="154"/>
      <c r="C21" s="274" t="s">
        <v>183</v>
      </c>
      <c r="D21" s="275"/>
      <c r="E21" s="276"/>
    </row>
    <row r="22" spans="1:5" ht="20.100000000000001" customHeight="1" x14ac:dyDescent="0.15">
      <c r="A22" s="233"/>
      <c r="B22" s="152" t="str">
        <f>[1]세출!D27</f>
        <v>제수당</v>
      </c>
      <c r="C22" s="89">
        <v>25394260</v>
      </c>
      <c r="D22" s="89">
        <v>34122210</v>
      </c>
      <c r="E22" s="109">
        <f t="shared" si="5"/>
        <v>8727950</v>
      </c>
    </row>
    <row r="23" spans="1:5" ht="20.100000000000001" customHeight="1" x14ac:dyDescent="0.15">
      <c r="A23" s="233"/>
      <c r="B23" s="154"/>
      <c r="C23" s="274" t="s">
        <v>268</v>
      </c>
      <c r="D23" s="275"/>
      <c r="E23" s="276"/>
    </row>
    <row r="24" spans="1:5" ht="20.100000000000001" customHeight="1" x14ac:dyDescent="0.15">
      <c r="A24" s="233"/>
      <c r="B24" s="98" t="str">
        <f>[1]세출!D42</f>
        <v>퇴직금및퇴직적립금</v>
      </c>
      <c r="C24" s="89">
        <v>21742720</v>
      </c>
      <c r="D24" s="89">
        <v>23740630</v>
      </c>
      <c r="E24" s="110">
        <f t="shared" si="5"/>
        <v>1997910</v>
      </c>
    </row>
    <row r="25" spans="1:5" ht="20.100000000000001" customHeight="1" x14ac:dyDescent="0.15">
      <c r="A25" s="233"/>
      <c r="B25" s="105"/>
      <c r="C25" s="274" t="s">
        <v>184</v>
      </c>
      <c r="D25" s="275"/>
      <c r="E25" s="276"/>
    </row>
    <row r="26" spans="1:5" ht="20.100000000000001" customHeight="1" x14ac:dyDescent="0.15">
      <c r="A26" s="92"/>
      <c r="B26" s="152" t="str">
        <f>[2]세출!D39</f>
        <v>사회보험부담금</v>
      </c>
      <c r="C26" s="89">
        <v>25097020</v>
      </c>
      <c r="D26" s="89">
        <v>28611785</v>
      </c>
      <c r="E26" s="110">
        <f t="shared" si="5"/>
        <v>3514765</v>
      </c>
    </row>
    <row r="27" spans="1:5" ht="20.100000000000001" customHeight="1" x14ac:dyDescent="0.15">
      <c r="A27" s="92"/>
      <c r="B27" s="154"/>
      <c r="C27" s="274" t="s">
        <v>185</v>
      </c>
      <c r="D27" s="275"/>
      <c r="E27" s="276"/>
    </row>
    <row r="28" spans="1:5" ht="20.100000000000001" customHeight="1" x14ac:dyDescent="0.15">
      <c r="A28" s="92"/>
      <c r="B28" s="152" t="s">
        <v>126</v>
      </c>
      <c r="C28" s="89">
        <v>100000</v>
      </c>
      <c r="D28" s="89">
        <v>2340000</v>
      </c>
      <c r="E28" s="110">
        <f t="shared" ref="E28" si="6">D28-C28</f>
        <v>2240000</v>
      </c>
    </row>
    <row r="29" spans="1:5" ht="20.100000000000001" customHeight="1" x14ac:dyDescent="0.15">
      <c r="A29" s="92"/>
      <c r="B29" s="154"/>
      <c r="C29" s="274" t="s">
        <v>267</v>
      </c>
      <c r="D29" s="275"/>
      <c r="E29" s="276"/>
    </row>
    <row r="30" spans="1:5" ht="20.100000000000001" customHeight="1" x14ac:dyDescent="0.15">
      <c r="A30" s="90" t="s">
        <v>167</v>
      </c>
      <c r="B30" s="152" t="s">
        <v>49</v>
      </c>
      <c r="C30" s="100">
        <v>100000</v>
      </c>
      <c r="D30" s="89">
        <v>600000</v>
      </c>
      <c r="E30" s="110">
        <f t="shared" si="5"/>
        <v>500000</v>
      </c>
    </row>
    <row r="31" spans="1:5" ht="20.100000000000001" customHeight="1" x14ac:dyDescent="0.15">
      <c r="A31" s="92"/>
      <c r="B31" s="153"/>
      <c r="C31" s="274" t="s">
        <v>269</v>
      </c>
      <c r="D31" s="275"/>
      <c r="E31" s="276"/>
    </row>
    <row r="32" spans="1:5" ht="20.100000000000001" customHeight="1" x14ac:dyDescent="0.15">
      <c r="A32" s="92"/>
      <c r="B32" s="154" t="s">
        <v>168</v>
      </c>
      <c r="C32" s="100">
        <v>100000</v>
      </c>
      <c r="D32" s="89">
        <v>400000</v>
      </c>
      <c r="E32" s="110">
        <f t="shared" ref="E32" si="7">D32-C32</f>
        <v>300000</v>
      </c>
    </row>
    <row r="33" spans="1:5" ht="20.100000000000001" customHeight="1" x14ac:dyDescent="0.15">
      <c r="A33" s="112"/>
      <c r="B33" s="151"/>
      <c r="C33" s="271" t="s">
        <v>186</v>
      </c>
      <c r="D33" s="272"/>
      <c r="E33" s="273"/>
    </row>
    <row r="34" spans="1:5" ht="20.100000000000001" customHeight="1" x14ac:dyDescent="0.15">
      <c r="A34" s="92" t="s">
        <v>169</v>
      </c>
      <c r="B34" s="154" t="s">
        <v>52</v>
      </c>
      <c r="C34" s="96">
        <v>40000</v>
      </c>
      <c r="D34" s="234">
        <v>400000</v>
      </c>
      <c r="E34" s="235">
        <f t="shared" ref="E34" si="8">D34-C34</f>
        <v>360000</v>
      </c>
    </row>
    <row r="35" spans="1:5" ht="20.100000000000001" customHeight="1" x14ac:dyDescent="0.15">
      <c r="A35" s="92"/>
      <c r="B35" s="154"/>
      <c r="C35" s="274" t="s">
        <v>270</v>
      </c>
      <c r="D35" s="275"/>
      <c r="E35" s="276"/>
    </row>
    <row r="36" spans="1:5" ht="20.100000000000001" customHeight="1" x14ac:dyDescent="0.15">
      <c r="A36" s="92"/>
      <c r="B36" s="152" t="s">
        <v>53</v>
      </c>
      <c r="C36" s="100">
        <v>14841600</v>
      </c>
      <c r="D36" s="89">
        <v>13304000</v>
      </c>
      <c r="E36" s="110">
        <f t="shared" ref="E36" si="9">D36-C36</f>
        <v>-1537600</v>
      </c>
    </row>
    <row r="37" spans="1:5" ht="20.100000000000001" customHeight="1" x14ac:dyDescent="0.15">
      <c r="A37" s="92"/>
      <c r="B37" s="154"/>
      <c r="C37" s="274" t="s">
        <v>292</v>
      </c>
      <c r="D37" s="275"/>
      <c r="E37" s="276"/>
    </row>
    <row r="38" spans="1:5" ht="20.100000000000001" customHeight="1" x14ac:dyDescent="0.15">
      <c r="A38" s="92"/>
      <c r="B38" s="152" t="s">
        <v>100</v>
      </c>
      <c r="C38" s="210">
        <v>4440000</v>
      </c>
      <c r="D38" s="53">
        <v>9240000</v>
      </c>
      <c r="E38" s="181">
        <f t="shared" si="5"/>
        <v>4800000</v>
      </c>
    </row>
    <row r="39" spans="1:5" ht="20.100000000000001" customHeight="1" x14ac:dyDescent="0.15">
      <c r="A39" s="92"/>
      <c r="B39" s="154"/>
      <c r="C39" s="280" t="s">
        <v>273</v>
      </c>
      <c r="D39" s="281"/>
      <c r="E39" s="282"/>
    </row>
    <row r="40" spans="1:5" ht="20.100000000000001" customHeight="1" x14ac:dyDescent="0.15">
      <c r="A40" s="92"/>
      <c r="B40" s="152" t="str">
        <f>[1]세출!D67</f>
        <v>제세공과금</v>
      </c>
      <c r="C40" s="100">
        <v>5136000</v>
      </c>
      <c r="D40" s="89">
        <v>6086000</v>
      </c>
      <c r="E40" s="110">
        <f>D40-C40</f>
        <v>950000</v>
      </c>
    </row>
    <row r="41" spans="1:5" ht="20.100000000000001" customHeight="1" x14ac:dyDescent="0.15">
      <c r="A41" s="92"/>
      <c r="B41" s="153"/>
      <c r="C41" s="274" t="s">
        <v>274</v>
      </c>
      <c r="D41" s="275"/>
      <c r="E41" s="276"/>
    </row>
    <row r="42" spans="1:5" ht="20.100000000000001" customHeight="1" x14ac:dyDescent="0.15">
      <c r="A42" s="92"/>
      <c r="B42" s="91" t="s">
        <v>121</v>
      </c>
      <c r="C42" s="178">
        <v>4368000</v>
      </c>
      <c r="D42" s="180">
        <v>3880000</v>
      </c>
      <c r="E42" s="111">
        <f>D42-C42</f>
        <v>-488000</v>
      </c>
    </row>
    <row r="43" spans="1:5" ht="20.100000000000001" customHeight="1" x14ac:dyDescent="0.15">
      <c r="A43" s="92"/>
      <c r="B43" s="93"/>
      <c r="C43" s="283" t="s">
        <v>275</v>
      </c>
      <c r="D43" s="284"/>
      <c r="E43" s="285"/>
    </row>
    <row r="44" spans="1:5" ht="20.100000000000001" customHeight="1" x14ac:dyDescent="0.15">
      <c r="A44" s="90" t="s">
        <v>170</v>
      </c>
      <c r="B44" s="91" t="s">
        <v>142</v>
      </c>
      <c r="C44" s="178">
        <v>5433826</v>
      </c>
      <c r="D44" s="180">
        <v>5815196</v>
      </c>
      <c r="E44" s="111">
        <f>D44-C44</f>
        <v>381370</v>
      </c>
    </row>
    <row r="45" spans="1:5" ht="20.100000000000001" customHeight="1" x14ac:dyDescent="0.15">
      <c r="A45" s="92"/>
      <c r="B45" s="137"/>
      <c r="C45" s="283" t="s">
        <v>293</v>
      </c>
      <c r="D45" s="284"/>
      <c r="E45" s="285"/>
    </row>
    <row r="46" spans="1:5" ht="20.100000000000001" customHeight="1" x14ac:dyDescent="0.15">
      <c r="A46" s="90" t="s">
        <v>102</v>
      </c>
      <c r="B46" s="152" t="s">
        <v>59</v>
      </c>
      <c r="C46" s="99">
        <v>14558000</v>
      </c>
      <c r="D46" s="89">
        <v>15808000</v>
      </c>
      <c r="E46" s="111">
        <f t="shared" si="5"/>
        <v>1250000</v>
      </c>
    </row>
    <row r="47" spans="1:5" ht="20.100000000000001" customHeight="1" x14ac:dyDescent="0.15">
      <c r="A47" s="92"/>
      <c r="B47" s="154"/>
      <c r="C47" s="274" t="s">
        <v>276</v>
      </c>
      <c r="D47" s="275"/>
      <c r="E47" s="276"/>
    </row>
    <row r="48" spans="1:5" ht="20.100000000000001" customHeight="1" x14ac:dyDescent="0.15">
      <c r="A48" s="92"/>
      <c r="B48" s="152" t="s">
        <v>171</v>
      </c>
      <c r="C48" s="99">
        <v>300000</v>
      </c>
      <c r="D48" s="89">
        <v>150000</v>
      </c>
      <c r="E48" s="111">
        <f t="shared" ref="E48" si="10">D48-C48</f>
        <v>-150000</v>
      </c>
    </row>
    <row r="49" spans="1:5" ht="20.100000000000001" customHeight="1" x14ac:dyDescent="0.15">
      <c r="A49" s="92"/>
      <c r="B49" s="154"/>
      <c r="C49" s="274" t="s">
        <v>190</v>
      </c>
      <c r="D49" s="275"/>
      <c r="E49" s="276"/>
    </row>
    <row r="50" spans="1:5" ht="20.100000000000001" customHeight="1" x14ac:dyDescent="0.15">
      <c r="A50" s="90" t="s">
        <v>127</v>
      </c>
      <c r="B50" s="152" t="s">
        <v>143</v>
      </c>
      <c r="C50" s="100">
        <v>400000</v>
      </c>
      <c r="D50" s="138">
        <v>600000</v>
      </c>
      <c r="E50" s="111">
        <f t="shared" si="5"/>
        <v>200000</v>
      </c>
    </row>
    <row r="51" spans="1:5" ht="20.100000000000001" customHeight="1" x14ac:dyDescent="0.15">
      <c r="A51" s="92"/>
      <c r="B51" s="154"/>
      <c r="C51" s="280" t="s">
        <v>187</v>
      </c>
      <c r="D51" s="281"/>
      <c r="E51" s="282"/>
    </row>
    <row r="52" spans="1:5" ht="20.100000000000001" customHeight="1" x14ac:dyDescent="0.15">
      <c r="A52" s="92"/>
      <c r="B52" s="152" t="s">
        <v>172</v>
      </c>
      <c r="C52" s="100">
        <v>2800000</v>
      </c>
      <c r="D52" s="138">
        <v>4020000</v>
      </c>
      <c r="E52" s="111">
        <f t="shared" ref="E52" si="11">D52-C52</f>
        <v>1220000</v>
      </c>
    </row>
    <row r="53" spans="1:5" ht="20.100000000000001" customHeight="1" x14ac:dyDescent="0.15">
      <c r="A53" s="92"/>
      <c r="B53" s="154"/>
      <c r="C53" s="274" t="s">
        <v>188</v>
      </c>
      <c r="D53" s="275"/>
      <c r="E53" s="276"/>
    </row>
    <row r="54" spans="1:5" ht="20.100000000000001" customHeight="1" x14ac:dyDescent="0.15">
      <c r="A54" s="92"/>
      <c r="B54" s="152" t="s">
        <v>61</v>
      </c>
      <c r="C54" s="100">
        <v>50000</v>
      </c>
      <c r="D54" s="138">
        <v>200000</v>
      </c>
      <c r="E54" s="111">
        <f t="shared" ref="E54" si="12">D54-C54</f>
        <v>150000</v>
      </c>
    </row>
    <row r="55" spans="1:5" ht="20.100000000000001" customHeight="1" x14ac:dyDescent="0.15">
      <c r="A55" s="92"/>
      <c r="B55" s="154"/>
      <c r="C55" s="274" t="s">
        <v>290</v>
      </c>
      <c r="D55" s="275"/>
      <c r="E55" s="276"/>
    </row>
    <row r="56" spans="1:5" ht="20.100000000000001" customHeight="1" x14ac:dyDescent="0.15">
      <c r="A56" s="92"/>
      <c r="B56" s="152" t="s">
        <v>173</v>
      </c>
      <c r="C56" s="100">
        <v>200000</v>
      </c>
      <c r="D56" s="138">
        <v>410000</v>
      </c>
      <c r="E56" s="111">
        <f t="shared" ref="E56" si="13">D56-C56</f>
        <v>210000</v>
      </c>
    </row>
    <row r="57" spans="1:5" ht="20.100000000000001" customHeight="1" x14ac:dyDescent="0.15">
      <c r="A57" s="92"/>
      <c r="B57" s="154"/>
      <c r="C57" s="274" t="s">
        <v>189</v>
      </c>
      <c r="D57" s="275"/>
      <c r="E57" s="276"/>
    </row>
    <row r="58" spans="1:5" ht="20.100000000000001" customHeight="1" x14ac:dyDescent="0.15">
      <c r="A58" s="92"/>
      <c r="B58" s="152" t="s">
        <v>107</v>
      </c>
      <c r="C58" s="149">
        <v>2680000</v>
      </c>
      <c r="D58" s="150">
        <v>4260000</v>
      </c>
      <c r="E58" s="111">
        <f t="shared" ref="E58" si="14">D58-C58</f>
        <v>1580000</v>
      </c>
    </row>
    <row r="59" spans="1:5" ht="20.100000000000001" customHeight="1" x14ac:dyDescent="0.15">
      <c r="A59" s="92"/>
      <c r="B59" s="154"/>
      <c r="C59" s="274" t="s">
        <v>177</v>
      </c>
      <c r="D59" s="275"/>
      <c r="E59" s="276"/>
    </row>
    <row r="60" spans="1:5" ht="20.100000000000001" customHeight="1" x14ac:dyDescent="0.15">
      <c r="A60" s="90" t="s">
        <v>128</v>
      </c>
      <c r="B60" s="152" t="s">
        <v>144</v>
      </c>
      <c r="C60" s="149">
        <v>3000000</v>
      </c>
      <c r="D60" s="150">
        <v>1000000</v>
      </c>
      <c r="E60" s="111">
        <f t="shared" ref="E60" si="15">D60-C60</f>
        <v>-2000000</v>
      </c>
    </row>
    <row r="61" spans="1:5" ht="20.100000000000001" customHeight="1" x14ac:dyDescent="0.15">
      <c r="A61" s="92"/>
      <c r="B61" s="154"/>
      <c r="C61" s="274" t="s">
        <v>277</v>
      </c>
      <c r="D61" s="275"/>
      <c r="E61" s="276"/>
    </row>
    <row r="62" spans="1:5" ht="20.100000000000001" customHeight="1" x14ac:dyDescent="0.15">
      <c r="A62" s="92"/>
      <c r="B62" s="152" t="s">
        <v>174</v>
      </c>
      <c r="C62" s="149">
        <v>399000</v>
      </c>
      <c r="D62" s="150">
        <v>1299000</v>
      </c>
      <c r="E62" s="111">
        <f t="shared" ref="E62" si="16">D62-C62</f>
        <v>900000</v>
      </c>
    </row>
    <row r="63" spans="1:5" ht="20.100000000000001" customHeight="1" x14ac:dyDescent="0.15">
      <c r="A63" s="92"/>
      <c r="B63" s="154"/>
      <c r="C63" s="274" t="s">
        <v>191</v>
      </c>
      <c r="D63" s="275"/>
      <c r="E63" s="276"/>
    </row>
    <row r="64" spans="1:5" ht="20.100000000000001" customHeight="1" x14ac:dyDescent="0.15">
      <c r="A64" s="92"/>
      <c r="B64" s="152" t="s">
        <v>175</v>
      </c>
      <c r="C64" s="149">
        <v>100000</v>
      </c>
      <c r="D64" s="150">
        <v>800000</v>
      </c>
      <c r="E64" s="111">
        <f t="shared" ref="E64" si="17">D64-C64</f>
        <v>700000</v>
      </c>
    </row>
    <row r="65" spans="1:5" ht="20.100000000000001" customHeight="1" x14ac:dyDescent="0.15">
      <c r="A65" s="112"/>
      <c r="B65" s="151"/>
      <c r="C65" s="277" t="s">
        <v>278</v>
      </c>
      <c r="D65" s="278"/>
      <c r="E65" s="279"/>
    </row>
    <row r="66" spans="1:5" ht="20.100000000000001" customHeight="1" x14ac:dyDescent="0.15">
      <c r="A66" s="92"/>
      <c r="B66" s="154" t="s">
        <v>176</v>
      </c>
      <c r="C66" s="236">
        <v>300000</v>
      </c>
      <c r="D66" s="237">
        <v>200000</v>
      </c>
      <c r="E66" s="211">
        <f t="shared" ref="E66" si="18">D66-C66</f>
        <v>-100000</v>
      </c>
    </row>
    <row r="67" spans="1:5" ht="20.100000000000001" customHeight="1" x14ac:dyDescent="0.15">
      <c r="A67" s="92"/>
      <c r="B67" s="154"/>
      <c r="C67" s="274" t="s">
        <v>279</v>
      </c>
      <c r="D67" s="275"/>
      <c r="E67" s="276"/>
    </row>
    <row r="68" spans="1:5" ht="20.100000000000001" customHeight="1" x14ac:dyDescent="0.15">
      <c r="A68" s="90" t="s">
        <v>111</v>
      </c>
      <c r="B68" s="152" t="s">
        <v>112</v>
      </c>
      <c r="C68" s="89">
        <v>154044</v>
      </c>
      <c r="D68" s="89">
        <v>100179</v>
      </c>
      <c r="E68" s="111">
        <f t="shared" si="5"/>
        <v>-53865</v>
      </c>
    </row>
    <row r="69" spans="1:5" ht="20.100000000000001" customHeight="1" x14ac:dyDescent="0.15">
      <c r="A69" s="92"/>
      <c r="B69" s="154"/>
      <c r="C69" s="274" t="s">
        <v>291</v>
      </c>
      <c r="D69" s="275"/>
      <c r="E69" s="276"/>
    </row>
    <row r="70" spans="1:5" ht="20.100000000000001" customHeight="1" x14ac:dyDescent="0.15">
      <c r="A70" s="92"/>
      <c r="B70" s="152" t="s">
        <v>164</v>
      </c>
      <c r="C70" s="173">
        <v>100000</v>
      </c>
      <c r="D70" s="174">
        <v>20000</v>
      </c>
      <c r="E70" s="111">
        <f t="shared" si="5"/>
        <v>-80000</v>
      </c>
    </row>
    <row r="71" spans="1:5" ht="20.100000000000001" customHeight="1" x14ac:dyDescent="0.15">
      <c r="A71" s="112"/>
      <c r="B71" s="151"/>
      <c r="C71" s="271" t="s">
        <v>192</v>
      </c>
      <c r="D71" s="272"/>
      <c r="E71" s="273"/>
    </row>
    <row r="72" spans="1:5" ht="23.1" customHeight="1" x14ac:dyDescent="0.15">
      <c r="A72" s="95"/>
      <c r="B72" s="95"/>
      <c r="C72" s="97"/>
      <c r="D72" s="97"/>
      <c r="E72" s="104"/>
    </row>
    <row r="73" spans="1:5" ht="23.1" customHeight="1" x14ac:dyDescent="0.15"/>
    <row r="74" spans="1:5" ht="23.1" customHeight="1" x14ac:dyDescent="0.15"/>
    <row r="75" spans="1:5" ht="23.1" customHeight="1" x14ac:dyDescent="0.15"/>
    <row r="76" spans="1:5" ht="23.1" customHeight="1" x14ac:dyDescent="0.15"/>
    <row r="77" spans="1:5" ht="23.1" customHeight="1" x14ac:dyDescent="0.15"/>
    <row r="78" spans="1:5" ht="23.1" customHeight="1" x14ac:dyDescent="0.15"/>
    <row r="79" spans="1:5" ht="23.1" customHeight="1" x14ac:dyDescent="0.15"/>
  </sheetData>
  <mergeCells count="37">
    <mergeCell ref="A1:E1"/>
    <mergeCell ref="C33:E33"/>
    <mergeCell ref="A17:B17"/>
    <mergeCell ref="C13:E13"/>
    <mergeCell ref="C15:E15"/>
    <mergeCell ref="C11:E11"/>
    <mergeCell ref="A2:B2"/>
    <mergeCell ref="A3:B3"/>
    <mergeCell ref="C7:E7"/>
    <mergeCell ref="A5:B5"/>
    <mergeCell ref="A19:B19"/>
    <mergeCell ref="C21:E21"/>
    <mergeCell ref="C9:E9"/>
    <mergeCell ref="C23:E23"/>
    <mergeCell ref="C25:E25"/>
    <mergeCell ref="C27:E27"/>
    <mergeCell ref="C43:E43"/>
    <mergeCell ref="C29:E29"/>
    <mergeCell ref="C31:E31"/>
    <mergeCell ref="C41:E41"/>
    <mergeCell ref="C51:E51"/>
    <mergeCell ref="C59:E59"/>
    <mergeCell ref="C35:E35"/>
    <mergeCell ref="C49:E49"/>
    <mergeCell ref="C55:E55"/>
    <mergeCell ref="C37:E37"/>
    <mergeCell ref="C53:E53"/>
    <mergeCell ref="C57:E57"/>
    <mergeCell ref="C47:E47"/>
    <mergeCell ref="C39:E39"/>
    <mergeCell ref="C45:E45"/>
    <mergeCell ref="C71:E71"/>
    <mergeCell ref="C61:E61"/>
    <mergeCell ref="C63:E63"/>
    <mergeCell ref="C65:E65"/>
    <mergeCell ref="C67:E67"/>
    <mergeCell ref="C69:E69"/>
  </mergeCells>
  <phoneticPr fontId="2" type="noConversion"/>
  <printOptions horizontalCentered="1"/>
  <pageMargins left="0.39370078740157483" right="0.39370078740157483" top="0.78740157480314965" bottom="0.59055118110236227" header="0" footer="0"/>
  <pageSetup paperSize="9" firstPageNumber="10" orientation="portrait" useFirstPageNumber="1" r:id="rId1"/>
  <headerFooter alignWithMargins="0">
    <oddFooter>&amp;R참좋은기억학교(2021.11.30)</oddFooter>
  </headerFooter>
  <rowBreaks count="2" manualBreakCount="2">
    <brk id="33" max="4" man="1"/>
    <brk id="6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8</vt:i4>
      </vt:variant>
    </vt:vector>
  </HeadingPairs>
  <TitlesOfParts>
    <vt:vector size="14" baseType="lpstr">
      <vt:lpstr>표지</vt:lpstr>
      <vt:lpstr>예산총칙</vt:lpstr>
      <vt:lpstr>최초예산총괄</vt:lpstr>
      <vt:lpstr>최초예산내역-세입</vt:lpstr>
      <vt:lpstr>최초예산내역-세출</vt:lpstr>
      <vt:lpstr>최초예산 증감사항</vt:lpstr>
      <vt:lpstr>'최초예산 증감사항'!Print_Area</vt:lpstr>
      <vt:lpstr>'최초예산내역-세입'!Print_Area</vt:lpstr>
      <vt:lpstr>'최초예산내역-세출'!Print_Area</vt:lpstr>
      <vt:lpstr>최초예산총괄!Print_Area</vt:lpstr>
      <vt:lpstr>표지!Print_Area</vt:lpstr>
      <vt:lpstr>'최초예산 증감사항'!Print_Titles</vt:lpstr>
      <vt:lpstr>'최초예산내역-세입'!Print_Titles</vt:lpstr>
      <vt:lpstr>'최초예산내역-세출'!Print_Titles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PC</cp:lastModifiedBy>
  <cp:lastPrinted>2021-12-03T05:51:17Z</cp:lastPrinted>
  <dcterms:created xsi:type="dcterms:W3CDTF">2016-12-07T07:13:09Z</dcterms:created>
  <dcterms:modified xsi:type="dcterms:W3CDTF">2021-12-03T06:28:19Z</dcterms:modified>
</cp:coreProperties>
</file>