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새 폴더\참좋은기억학교) 21년 결산추경 및  22년 최초예산 사업계획서\"/>
    </mc:Choice>
  </mc:AlternateContent>
  <xr:revisionPtr revIDLastSave="0" documentId="13_ncr:1_{E9E9D023-9FFA-4BB8-8205-C03271D1485E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표지" sheetId="5" r:id="rId1"/>
    <sheet name="예산총칙" sheetId="1" r:id="rId2"/>
    <sheet name="결산추경예산총괄" sheetId="2" r:id="rId3"/>
    <sheet name="결산추경예산내역-세입" sheetId="8" r:id="rId4"/>
    <sheet name="결산추경예산내역-세출" sheetId="7" r:id="rId5"/>
    <sheet name="결산추경예산 증감사항" sheetId="6" r:id="rId6"/>
  </sheets>
  <externalReferences>
    <externalReference r:id="rId7"/>
    <externalReference r:id="rId8"/>
  </externalReferences>
  <definedNames>
    <definedName name="_xlnm.Print_Area" localSheetId="5">'결산추경예산 증감사항'!$A$1:$E$55</definedName>
    <definedName name="_xlnm.Print_Area" localSheetId="3">'결산추경예산내역-세입'!$A$1:$I$35</definedName>
    <definedName name="_xlnm.Print_Area" localSheetId="4">'결산추경예산내역-세출'!$A$1:$I$133</definedName>
    <definedName name="_xlnm.Print_Area" localSheetId="2">결산추경예산총괄!$A$1:$E$25</definedName>
    <definedName name="_xlnm.Print_Area" localSheetId="0">표지!$A$1:$A$12</definedName>
    <definedName name="_xlnm.Print_Titles" localSheetId="5">'결산추경예산 증감사항'!$15:$16</definedName>
    <definedName name="_xlnm.Print_Titles" localSheetId="3">'결산추경예산내역-세입'!$3:$5</definedName>
    <definedName name="_xlnm.Print_Titles" localSheetId="4">'결산추경예산내역-세출'!$3:$5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7" i="7" l="1"/>
  <c r="E52" i="6" l="1"/>
  <c r="E50" i="6"/>
  <c r="E48" i="6"/>
  <c r="E46" i="6"/>
  <c r="E44" i="6"/>
  <c r="E40" i="6"/>
  <c r="I28" i="8"/>
  <c r="I96" i="7"/>
  <c r="I14" i="7"/>
  <c r="I12" i="7"/>
  <c r="I11" i="7"/>
  <c r="I10" i="7"/>
  <c r="C24" i="2"/>
  <c r="C23" i="2"/>
  <c r="C22" i="2"/>
  <c r="C21" i="2"/>
  <c r="C20" i="2"/>
  <c r="C19" i="2"/>
  <c r="C18" i="2"/>
  <c r="C17" i="2"/>
  <c r="C11" i="2"/>
  <c r="C10" i="2"/>
  <c r="C7" i="2"/>
  <c r="C6" i="2"/>
  <c r="I131" i="7"/>
  <c r="E130" i="7" s="1"/>
  <c r="I84" i="7"/>
  <c r="I80" i="7"/>
  <c r="I71" i="7"/>
  <c r="I51" i="7"/>
  <c r="I127" i="7"/>
  <c r="I123" i="7"/>
  <c r="E122" i="7" s="1"/>
  <c r="I103" i="7"/>
  <c r="I61" i="7"/>
  <c r="I116" i="7"/>
  <c r="I115" i="7"/>
  <c r="I133" i="7"/>
  <c r="I118" i="7"/>
  <c r="I76" i="7"/>
  <c r="I69" i="7"/>
  <c r="I60" i="7"/>
  <c r="I66" i="7"/>
  <c r="I67" i="7"/>
  <c r="I79" i="7"/>
  <c r="E114" i="7" l="1"/>
  <c r="I54" i="7"/>
  <c r="I49" i="7"/>
  <c r="I44" i="7"/>
  <c r="I38" i="7"/>
  <c r="I39" i="7"/>
  <c r="I36" i="7"/>
  <c r="I37" i="7" s="1"/>
  <c r="I35" i="7"/>
  <c r="I33" i="7"/>
  <c r="I22" i="7"/>
  <c r="I16" i="8"/>
  <c r="E9" i="8" l="1"/>
  <c r="I10" i="8"/>
  <c r="I30" i="8"/>
  <c r="I31" i="8"/>
  <c r="E38" i="6" l="1"/>
  <c r="E42" i="6"/>
  <c r="E54" i="6"/>
  <c r="E32" i="6"/>
  <c r="E30" i="6"/>
  <c r="I121" i="7"/>
  <c r="I75" i="7"/>
  <c r="I77" i="7"/>
  <c r="E74" i="7" s="1"/>
  <c r="I70" i="7"/>
  <c r="I58" i="7"/>
  <c r="I52" i="7" l="1"/>
  <c r="I46" i="7"/>
  <c r="I41" i="7"/>
  <c r="E40" i="7" s="1"/>
  <c r="I29" i="7"/>
  <c r="I20" i="7"/>
  <c r="I19" i="7"/>
  <c r="I18" i="7"/>
  <c r="I17" i="7"/>
  <c r="I16" i="7"/>
  <c r="I15" i="7"/>
  <c r="I21" i="7"/>
  <c r="I27" i="7"/>
  <c r="D8" i="8" l="1"/>
  <c r="D12" i="8"/>
  <c r="D26" i="8"/>
  <c r="I119" i="7"/>
  <c r="I31" i="7"/>
  <c r="E25" i="7" s="1"/>
  <c r="I109" i="7"/>
  <c r="I89" i="7"/>
  <c r="I94" i="7"/>
  <c r="I102" i="7"/>
  <c r="E124" i="7"/>
  <c r="I86" i="7"/>
  <c r="I62" i="7"/>
  <c r="I63" i="7"/>
  <c r="I24" i="7"/>
  <c r="I23" i="7"/>
  <c r="I13" i="7" l="1"/>
  <c r="I35" i="8"/>
  <c r="G34" i="8" l="1"/>
  <c r="F34" i="8"/>
  <c r="E33" i="8"/>
  <c r="D33" i="8"/>
  <c r="D32" i="8" s="1"/>
  <c r="E27" i="8"/>
  <c r="D25" i="8"/>
  <c r="F24" i="8"/>
  <c r="F23" i="8"/>
  <c r="F22" i="8"/>
  <c r="F21" i="8"/>
  <c r="F20" i="8"/>
  <c r="F19" i="8"/>
  <c r="F18" i="8"/>
  <c r="I17" i="8"/>
  <c r="E15" i="8" s="1"/>
  <c r="F14" i="8"/>
  <c r="F13" i="8"/>
  <c r="D11" i="8"/>
  <c r="D7" i="8"/>
  <c r="E132" i="7"/>
  <c r="D129" i="7"/>
  <c r="D128" i="7" s="1"/>
  <c r="E126" i="7"/>
  <c r="G124" i="7"/>
  <c r="F124" i="7"/>
  <c r="I120" i="7"/>
  <c r="D113" i="7"/>
  <c r="I112" i="7"/>
  <c r="E111" i="7" s="1"/>
  <c r="I110" i="7"/>
  <c r="I108" i="7"/>
  <c r="I106" i="7"/>
  <c r="I105" i="7"/>
  <c r="E101" i="7"/>
  <c r="I100" i="7"/>
  <c r="E99" i="7" s="1"/>
  <c r="I98" i="7"/>
  <c r="I97" i="7"/>
  <c r="I95" i="7"/>
  <c r="I93" i="7"/>
  <c r="I92" i="7"/>
  <c r="I91" i="7"/>
  <c r="E88" i="7"/>
  <c r="D87" i="7"/>
  <c r="E85" i="7"/>
  <c r="E83" i="7"/>
  <c r="D82" i="7"/>
  <c r="D73" i="7"/>
  <c r="D72" i="7" s="1"/>
  <c r="I64" i="7"/>
  <c r="I57" i="7"/>
  <c r="I55" i="7"/>
  <c r="I53" i="7"/>
  <c r="E48" i="7"/>
  <c r="D47" i="7"/>
  <c r="E45" i="7"/>
  <c r="E43" i="7"/>
  <c r="D42" i="7"/>
  <c r="G40" i="7"/>
  <c r="E32" i="7"/>
  <c r="D8" i="7"/>
  <c r="E104" i="7" l="1"/>
  <c r="F104" i="7" s="1"/>
  <c r="E78" i="7"/>
  <c r="F78" i="7" s="1"/>
  <c r="E90" i="7"/>
  <c r="F90" i="7" s="1"/>
  <c r="E50" i="7"/>
  <c r="F50" i="7" s="1"/>
  <c r="D81" i="7"/>
  <c r="F101" i="7"/>
  <c r="G101" i="7"/>
  <c r="G32" i="7"/>
  <c r="F32" i="7"/>
  <c r="F99" i="7"/>
  <c r="G99" i="7"/>
  <c r="F74" i="7"/>
  <c r="E56" i="7"/>
  <c r="G56" i="7" s="1"/>
  <c r="G33" i="8"/>
  <c r="F25" i="7"/>
  <c r="D6" i="8"/>
  <c r="E34" i="7"/>
  <c r="F40" i="7"/>
  <c r="D7" i="7"/>
  <c r="E59" i="7"/>
  <c r="F59" i="7" s="1"/>
  <c r="E68" i="7"/>
  <c r="I9" i="7"/>
  <c r="E9" i="7" s="1"/>
  <c r="F9" i="7" s="1"/>
  <c r="E65" i="7"/>
  <c r="F65" i="7" s="1"/>
  <c r="E117" i="7"/>
  <c r="G122" i="7"/>
  <c r="E32" i="8"/>
  <c r="G32" i="8" s="1"/>
  <c r="E29" i="8"/>
  <c r="E26" i="8" s="1"/>
  <c r="D10" i="2" s="1"/>
  <c r="D11" i="2"/>
  <c r="F27" i="8"/>
  <c r="G27" i="8"/>
  <c r="E12" i="8"/>
  <c r="D7" i="2" s="1"/>
  <c r="G15" i="8"/>
  <c r="F15" i="8"/>
  <c r="G9" i="8"/>
  <c r="F9" i="8"/>
  <c r="E8" i="8"/>
  <c r="D6" i="2" s="1"/>
  <c r="F33" i="8"/>
  <c r="F45" i="7"/>
  <c r="G45" i="7"/>
  <c r="F85" i="7"/>
  <c r="G85" i="7"/>
  <c r="F114" i="7"/>
  <c r="G114" i="7"/>
  <c r="G130" i="7"/>
  <c r="F130" i="7"/>
  <c r="E129" i="7"/>
  <c r="F43" i="7"/>
  <c r="E42" i="7"/>
  <c r="D18" i="2" s="1"/>
  <c r="G43" i="7"/>
  <c r="F88" i="7"/>
  <c r="G88" i="7"/>
  <c r="F111" i="7"/>
  <c r="G111" i="7"/>
  <c r="G126" i="7"/>
  <c r="F126" i="7"/>
  <c r="G132" i="7"/>
  <c r="F132" i="7"/>
  <c r="F48" i="7"/>
  <c r="G48" i="7"/>
  <c r="F83" i="7"/>
  <c r="E82" i="7"/>
  <c r="D21" i="2" s="1"/>
  <c r="G83" i="7"/>
  <c r="G104" i="7" l="1"/>
  <c r="K26" i="7"/>
  <c r="K23" i="7" s="1"/>
  <c r="F32" i="8"/>
  <c r="G78" i="7"/>
  <c r="G65" i="7"/>
  <c r="D6" i="7"/>
  <c r="G50" i="7"/>
  <c r="J9" i="7"/>
  <c r="G34" i="7"/>
  <c r="F56" i="7"/>
  <c r="E87" i="7"/>
  <c r="D22" i="2" s="1"/>
  <c r="G90" i="7"/>
  <c r="F122" i="7"/>
  <c r="G74" i="7"/>
  <c r="E73" i="7"/>
  <c r="G73" i="7" s="1"/>
  <c r="F34" i="7"/>
  <c r="G25" i="7"/>
  <c r="G9" i="7"/>
  <c r="E8" i="7"/>
  <c r="D17" i="2" s="1"/>
  <c r="G29" i="8"/>
  <c r="F29" i="8"/>
  <c r="E113" i="7"/>
  <c r="D23" i="2" s="1"/>
  <c r="G59" i="7"/>
  <c r="E47" i="7"/>
  <c r="G117" i="7"/>
  <c r="F117" i="7"/>
  <c r="F68" i="7"/>
  <c r="G68" i="7"/>
  <c r="F8" i="8"/>
  <c r="G8" i="8"/>
  <c r="E7" i="8"/>
  <c r="E11" i="8"/>
  <c r="F12" i="8"/>
  <c r="G12" i="8"/>
  <c r="E25" i="8"/>
  <c r="G26" i="8"/>
  <c r="F26" i="8"/>
  <c r="G42" i="7"/>
  <c r="F42" i="7"/>
  <c r="F129" i="7"/>
  <c r="G129" i="7"/>
  <c r="E128" i="7"/>
  <c r="D24" i="2" s="1"/>
  <c r="G82" i="7"/>
  <c r="F82" i="7"/>
  <c r="F73" i="7" l="1"/>
  <c r="E72" i="7"/>
  <c r="D20" i="2" s="1"/>
  <c r="G87" i="7"/>
  <c r="F87" i="7"/>
  <c r="E81" i="7"/>
  <c r="G81" i="7" s="1"/>
  <c r="F113" i="7"/>
  <c r="G113" i="7"/>
  <c r="G8" i="7"/>
  <c r="F8" i="7"/>
  <c r="F47" i="7"/>
  <c r="D19" i="2"/>
  <c r="E7" i="7"/>
  <c r="G7" i="7" s="1"/>
  <c r="G47" i="7"/>
  <c r="F7" i="8"/>
  <c r="G7" i="8"/>
  <c r="E6" i="8"/>
  <c r="F25" i="8"/>
  <c r="G25" i="8"/>
  <c r="F11" i="8"/>
  <c r="G11" i="8"/>
  <c r="F128" i="7"/>
  <c r="G128" i="7"/>
  <c r="F72" i="7" l="1"/>
  <c r="G72" i="7"/>
  <c r="F81" i="7"/>
  <c r="E6" i="7"/>
  <c r="J5" i="7" s="1"/>
  <c r="F7" i="7"/>
  <c r="F6" i="8"/>
  <c r="G6" i="8"/>
  <c r="G6" i="7" l="1"/>
  <c r="F6" i="7"/>
  <c r="E36" i="6"/>
  <c r="E12" i="6"/>
  <c r="E10" i="6" l="1"/>
  <c r="E8" i="6"/>
  <c r="E26" i="6" l="1"/>
  <c r="E28" i="6" l="1"/>
  <c r="B22" i="6" l="1"/>
  <c r="B20" i="6"/>
  <c r="B18" i="6"/>
  <c r="A18" i="6"/>
  <c r="C5" i="6"/>
  <c r="E6" i="6"/>
  <c r="B6" i="6"/>
  <c r="A6" i="6"/>
  <c r="E34" i="6" l="1"/>
  <c r="E22" i="6"/>
  <c r="E20" i="6"/>
  <c r="C17" i="6"/>
  <c r="E18" i="6"/>
  <c r="E24" i="6"/>
  <c r="D5" i="6"/>
  <c r="E5" i="6" s="1"/>
  <c r="D17" i="6"/>
  <c r="E17" i="6" l="1"/>
  <c r="E22" i="2"/>
  <c r="E20" i="2"/>
  <c r="E23" i="2" l="1"/>
  <c r="E19" i="2" l="1"/>
  <c r="E21" i="2"/>
  <c r="D5" i="2" l="1"/>
  <c r="C16" i="2"/>
  <c r="C5" i="2" l="1"/>
  <c r="E24" i="2"/>
  <c r="E18" i="2"/>
  <c r="E17" i="2"/>
  <c r="D16" i="2"/>
  <c r="E16" i="2" s="1"/>
  <c r="E11" i="2"/>
  <c r="E10" i="2"/>
  <c r="E9" i="2"/>
  <c r="E8" i="2"/>
  <c r="E7" i="2"/>
  <c r="E6" i="2"/>
  <c r="E5" i="2" l="1"/>
</calcChain>
</file>

<file path=xl/sharedStrings.xml><?xml version="1.0" encoding="utf-8"?>
<sst xmlns="http://schemas.openxmlformats.org/spreadsheetml/2006/main" count="371" uniqueCount="258">
  <si>
    <t>사회복지법인 무일복지재단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</si>
  <si>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</si>
  <si>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</si>
  <si>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</si>
  <si>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</si>
  <si>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</si>
  <si>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</si>
  <si>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</si>
  <si>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</si>
  <si>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</si>
  <si>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계</t>
    <phoneticPr fontId="2" type="noConversion"/>
  </si>
  <si>
    <t xml:space="preserve"> 예  산  총  칙</t>
    <phoneticPr fontId="2" type="noConversion"/>
  </si>
  <si>
    <t xml:space="preserve">                (단위: 원)</t>
    <phoneticPr fontId="2" type="noConversion"/>
  </si>
  <si>
    <t>과목</t>
    <phoneticPr fontId="2" type="noConversion"/>
  </si>
  <si>
    <t>산출근거</t>
    <phoneticPr fontId="2" type="noConversion"/>
  </si>
  <si>
    <t xml:space="preserve">관 </t>
    <phoneticPr fontId="2" type="noConversion"/>
  </si>
  <si>
    <t xml:space="preserve">항 </t>
    <phoneticPr fontId="2" type="noConversion"/>
  </si>
  <si>
    <t>목</t>
    <phoneticPr fontId="2" type="noConversion"/>
  </si>
  <si>
    <t>액수</t>
    <phoneticPr fontId="2" type="noConversion"/>
  </si>
  <si>
    <t>%</t>
    <phoneticPr fontId="2" type="noConversion"/>
  </si>
  <si>
    <t>총계</t>
    <phoneticPr fontId="2" type="noConversion"/>
  </si>
  <si>
    <t xml:space="preserve">이월금 </t>
    <phoneticPr fontId="2" type="noConversion"/>
  </si>
  <si>
    <t xml:space="preserve">전년도이월금 </t>
    <phoneticPr fontId="2" type="noConversion"/>
  </si>
  <si>
    <t>전년도 이월금</t>
    <phoneticPr fontId="2" type="noConversion"/>
  </si>
  <si>
    <t>잡수입</t>
    <phoneticPr fontId="2" type="noConversion"/>
  </si>
  <si>
    <t>사무비</t>
    <phoneticPr fontId="2" type="noConversion"/>
  </si>
  <si>
    <t>인건비</t>
    <phoneticPr fontId="2" type="noConversion"/>
  </si>
  <si>
    <t>재산조성비</t>
    <phoneticPr fontId="2" type="noConversion"/>
  </si>
  <si>
    <t>시설비</t>
    <phoneticPr fontId="2" type="noConversion"/>
  </si>
  <si>
    <t>자산취득비</t>
    <phoneticPr fontId="2" type="noConversion"/>
  </si>
  <si>
    <t>입소자부담금수입</t>
    <phoneticPr fontId="2" type="noConversion"/>
  </si>
  <si>
    <t>입소비용수입</t>
    <phoneticPr fontId="2" type="noConversion"/>
  </si>
  <si>
    <t>보조금수입</t>
    <phoneticPr fontId="2" type="noConversion"/>
  </si>
  <si>
    <t>후원금수입</t>
    <phoneticPr fontId="2" type="noConversion"/>
  </si>
  <si>
    <t>지정후원금</t>
    <phoneticPr fontId="2" type="noConversion"/>
  </si>
  <si>
    <t>비지정후원금</t>
    <phoneticPr fontId="2" type="noConversion"/>
  </si>
  <si>
    <t>기타잡수입</t>
    <phoneticPr fontId="2" type="noConversion"/>
  </si>
  <si>
    <t>전입금</t>
    <phoneticPr fontId="2" type="noConversion"/>
  </si>
  <si>
    <t>법인전입금</t>
    <phoneticPr fontId="2" type="noConversion"/>
  </si>
  <si>
    <t>경상보조금수입</t>
    <phoneticPr fontId="2" type="noConversion"/>
  </si>
  <si>
    <t>이월금</t>
    <phoneticPr fontId="2" type="noConversion"/>
  </si>
  <si>
    <t>급여</t>
    <phoneticPr fontId="2" type="noConversion"/>
  </si>
  <si>
    <t>급여(기본급)</t>
    <phoneticPr fontId="2" type="noConversion"/>
  </si>
  <si>
    <t>제수당</t>
    <phoneticPr fontId="2" type="noConversion"/>
  </si>
  <si>
    <t>사회보험부담금</t>
    <phoneticPr fontId="2" type="noConversion"/>
  </si>
  <si>
    <t>사회보험부담비용</t>
    <phoneticPr fontId="2" type="noConversion"/>
  </si>
  <si>
    <t>기타후생경비</t>
    <phoneticPr fontId="2" type="noConversion"/>
  </si>
  <si>
    <t>업무추진비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</si>
  <si>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</si>
  <si>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</si>
  <si>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</si>
  <si>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</si>
  <si>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</si>
  <si>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</si>
  <si>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</si>
  <si>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</si>
  <si>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</si>
  <si>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사업비</t>
    <phoneticPr fontId="2" type="noConversion"/>
  </si>
  <si>
    <t>생계비</t>
    <phoneticPr fontId="2" type="noConversion"/>
  </si>
  <si>
    <t>수용기관경비</t>
    <phoneticPr fontId="2" type="noConversion"/>
  </si>
  <si>
    <t>기능회복훈련사업비</t>
    <phoneticPr fontId="2" type="noConversion"/>
  </si>
  <si>
    <t>간호 및 처치사업비</t>
    <phoneticPr fontId="2" type="noConversion"/>
  </si>
  <si>
    <t>일반사업비</t>
    <phoneticPr fontId="2" type="noConversion"/>
  </si>
  <si>
    <t>홍보출판사업비</t>
    <phoneticPr fontId="2" type="noConversion"/>
  </si>
  <si>
    <t>직원연수교육비</t>
    <phoneticPr fontId="2" type="noConversion"/>
  </si>
  <si>
    <t>홍보출판비</t>
    <phoneticPr fontId="2" type="noConversion"/>
  </si>
  <si>
    <t>직원연수 및 교육비</t>
    <phoneticPr fontId="2" type="noConversion"/>
  </si>
  <si>
    <t>자원봉사자 및 후원자 관리비</t>
    <phoneticPr fontId="2" type="noConversion"/>
  </si>
  <si>
    <t>기타사업비</t>
    <phoneticPr fontId="2" type="noConversion"/>
  </si>
  <si>
    <t>예비비 및 기타</t>
    <phoneticPr fontId="2" type="noConversion"/>
  </si>
  <si>
    <t>예비비</t>
    <phoneticPr fontId="2" type="noConversion"/>
  </si>
  <si>
    <t>퇴직금 및 퇴직적립금</t>
    <phoneticPr fontId="2" type="noConversion"/>
  </si>
  <si>
    <t>*방범서비스료: 77,000원 x 12회</t>
    <phoneticPr fontId="2" type="noConversion"/>
  </si>
  <si>
    <t>*간호조무사 보수교육: 35,000 x 1명</t>
    <phoneticPr fontId="2" type="noConversion"/>
  </si>
  <si>
    <t>봉사자 및 후원자 관리비</t>
    <phoneticPr fontId="2" type="noConversion"/>
  </si>
  <si>
    <t>참좋은기억학교</t>
    <phoneticPr fontId="2" type="noConversion"/>
  </si>
  <si>
    <t>입소자부담금수입</t>
    <phoneticPr fontId="2" type="noConversion"/>
  </si>
  <si>
    <t>입소비용수입</t>
    <phoneticPr fontId="2" type="noConversion"/>
  </si>
  <si>
    <t>보 조 금 수 입</t>
    <phoneticPr fontId="2" type="noConversion"/>
  </si>
  <si>
    <t>보 조 금 수 입</t>
    <phoneticPr fontId="2" type="noConversion"/>
  </si>
  <si>
    <t>후 원 금 수 입</t>
    <phoneticPr fontId="2" type="noConversion"/>
  </si>
  <si>
    <t>후 원 금 수 입</t>
    <phoneticPr fontId="2" type="noConversion"/>
  </si>
  <si>
    <t>전     입     금</t>
    <phoneticPr fontId="2" type="noConversion"/>
  </si>
  <si>
    <t>잡     수     입</t>
    <phoneticPr fontId="2" type="noConversion"/>
  </si>
  <si>
    <t>이     월     금</t>
    <phoneticPr fontId="2" type="noConversion"/>
  </si>
  <si>
    <t>(단위 : 원)</t>
    <phoneticPr fontId="2" type="noConversion"/>
  </si>
  <si>
    <t>사     무     비</t>
    <phoneticPr fontId="8" type="noConversion"/>
  </si>
  <si>
    <t>인     건     비</t>
    <phoneticPr fontId="8" type="noConversion"/>
  </si>
  <si>
    <t>운     영     비</t>
    <phoneticPr fontId="2" type="noConversion"/>
  </si>
  <si>
    <t>업 무 추 진 비</t>
    <phoneticPr fontId="2" type="noConversion"/>
  </si>
  <si>
    <t>재 산 조 성 비</t>
    <phoneticPr fontId="2" type="noConversion"/>
  </si>
  <si>
    <t>시     설     비</t>
    <phoneticPr fontId="2" type="noConversion"/>
  </si>
  <si>
    <t>사     업     비</t>
    <phoneticPr fontId="2" type="noConversion"/>
  </si>
  <si>
    <t>예비비 및 기타</t>
    <phoneticPr fontId="2" type="noConversion"/>
  </si>
  <si>
    <t>일 반 사 업 비</t>
    <phoneticPr fontId="2" type="noConversion"/>
  </si>
  <si>
    <t>증감(B-A)</t>
    <phoneticPr fontId="2" type="noConversion"/>
  </si>
  <si>
    <t>기타예금이자수입</t>
    <phoneticPr fontId="2" type="noConversion"/>
  </si>
  <si>
    <t>6. 보편적으로 발생하는 지출에 있어서는 세출예산에도 불구하고 초과 집행하고 차기 이사회에서</t>
    <phoneticPr fontId="2" type="noConversion"/>
  </si>
  <si>
    <t xml:space="preserve">    있다.</t>
    <phoneticPr fontId="2" type="noConversion"/>
  </si>
  <si>
    <t>시설장비유지비</t>
    <phoneticPr fontId="2" type="noConversion"/>
  </si>
  <si>
    <t>4. 사업수입(본인부담금), 국시비보조금, 후원금 등의 세입이 감소할 경우 기존사업을 축소할 수 있다.</t>
    <phoneticPr fontId="2" type="noConversion"/>
  </si>
  <si>
    <t xml:space="preserve">   추가경정 예산을 승인 받을 수 있다.</t>
    <phoneticPr fontId="2" type="noConversion"/>
  </si>
  <si>
    <t>재활프로그램사업비</t>
    <phoneticPr fontId="2" type="noConversion"/>
  </si>
  <si>
    <t>일상생활지원사업비</t>
    <phoneticPr fontId="2" type="noConversion"/>
  </si>
  <si>
    <t>특별사업지원사업비</t>
    <phoneticPr fontId="2" type="noConversion"/>
  </si>
  <si>
    <t>간호및처치사업비</t>
    <phoneticPr fontId="2" type="noConversion"/>
  </si>
  <si>
    <t>*놀이교실: 50,000원 x 4회</t>
    <phoneticPr fontId="2" type="noConversion"/>
  </si>
  <si>
    <t>상담사업비</t>
    <phoneticPr fontId="2" type="noConversion"/>
  </si>
  <si>
    <t xml:space="preserve">5. 사업수입(본인부담금),국시비보조금, 후원금등의 세입이 증가 할 경우 세입세출예산을 초과할  </t>
    <phoneticPr fontId="2" type="noConversion"/>
  </si>
  <si>
    <t xml:space="preserve">   수 있다.</t>
    <phoneticPr fontId="2" type="noConversion"/>
  </si>
  <si>
    <t>7. 세출예산에서 초과지출이 발생할 경우에 동일관 내의 목간전용으로 부족한 예산을 집행할 수가</t>
    <phoneticPr fontId="2" type="noConversion"/>
  </si>
  <si>
    <t>*어버이날행사: 6,000원 x 40명 x 1회</t>
    <phoneticPr fontId="2" type="noConversion"/>
  </si>
  <si>
    <t>*간호처치 및 관리: 150,000원 x 4회</t>
    <phoneticPr fontId="2" type="noConversion"/>
  </si>
  <si>
    <t>*한방치료: 40,000원 x 2회</t>
    <phoneticPr fontId="2" type="noConversion"/>
  </si>
  <si>
    <t>*기타 복지프로그램: 50,000원 x 4회</t>
    <phoneticPr fontId="2" type="noConversion"/>
  </si>
  <si>
    <t>*기타수용비 및 인쇄비: 300,000원 x 4회</t>
    <phoneticPr fontId="2" type="noConversion"/>
  </si>
  <si>
    <t>보조금수입</t>
    <phoneticPr fontId="2" type="noConversion"/>
  </si>
  <si>
    <t>잡수입</t>
    <phoneticPr fontId="2" type="noConversion"/>
  </si>
  <si>
    <t>전년도이월금</t>
    <phoneticPr fontId="2" type="noConversion"/>
  </si>
  <si>
    <t>*기타 교육 등: 30,000원 x 4회</t>
    <phoneticPr fontId="2" type="noConversion"/>
  </si>
  <si>
    <t>시군구보조금수입</t>
    <phoneticPr fontId="2" type="noConversion"/>
  </si>
  <si>
    <t>국고보조금수입</t>
    <phoneticPr fontId="2" type="noConversion"/>
  </si>
  <si>
    <t>시도보조금수입</t>
    <phoneticPr fontId="2" type="noConversion"/>
  </si>
  <si>
    <t xml:space="preserve">2021년 참좋은기억학교 </t>
    <phoneticPr fontId="2" type="noConversion"/>
  </si>
  <si>
    <t>*시군구보조금(관리운영비): 5,000,000원 x 4분기</t>
    <phoneticPr fontId="2" type="noConversion"/>
  </si>
  <si>
    <t>*자동차세 外: 112,000원 x 3대</t>
    <phoneticPr fontId="2" type="noConversion"/>
  </si>
  <si>
    <t>국고보조금</t>
    <phoneticPr fontId="2" type="noConversion"/>
  </si>
  <si>
    <t>시도보조금</t>
    <phoneticPr fontId="2" type="noConversion"/>
  </si>
  <si>
    <t>시군구보조금</t>
    <phoneticPr fontId="2" type="noConversion"/>
  </si>
  <si>
    <t>비대면인지지원사업비</t>
    <phoneticPr fontId="2" type="noConversion"/>
  </si>
  <si>
    <t>*차량보험료: 900,000원 x 3대</t>
    <phoneticPr fontId="2" type="noConversion"/>
  </si>
  <si>
    <t>*인터넷 사용료 및 전화료: 70,000원 x 12월</t>
    <phoneticPr fontId="2" type="noConversion"/>
  </si>
  <si>
    <t>*과학교실: 50,000원 x 12회</t>
    <phoneticPr fontId="2" type="noConversion"/>
  </si>
  <si>
    <t>*원예교실: 50,000원 x 12회</t>
    <phoneticPr fontId="2" type="noConversion"/>
  </si>
  <si>
    <t>*미술교실: 70,000원 x 12회</t>
    <phoneticPr fontId="2" type="noConversion"/>
  </si>
  <si>
    <t>*음악(소고)교실: 5,000원 x 40명 x 1회</t>
    <phoneticPr fontId="2" type="noConversion"/>
  </si>
  <si>
    <t>*치매예방체조 外: 50,000원 x 1회</t>
    <phoneticPr fontId="2" type="noConversion"/>
  </si>
  <si>
    <t>*생신잔치: 50,000원 x 10회</t>
    <phoneticPr fontId="2" type="noConversion"/>
  </si>
  <si>
    <t>*절기행사(설, 추석 外): 188,000원 x 5회</t>
    <phoneticPr fontId="2" type="noConversion"/>
  </si>
  <si>
    <t>*특별행사PG: 100,000원 x 2회</t>
    <phoneticPr fontId="2" type="noConversion"/>
  </si>
  <si>
    <t>반환금</t>
    <phoneticPr fontId="2" type="noConversion"/>
  </si>
  <si>
    <t>기타잡수입</t>
    <phoneticPr fontId="2" type="noConversion"/>
  </si>
  <si>
    <t>업무추진비</t>
    <phoneticPr fontId="2" type="noConversion"/>
  </si>
  <si>
    <t>운영비</t>
    <phoneticPr fontId="2" type="noConversion"/>
  </si>
  <si>
    <t>○ 세입의 주요내용</t>
    <phoneticPr fontId="2" type="noConversion"/>
  </si>
  <si>
    <t xml:space="preserve">  (단위: 원)</t>
    <phoneticPr fontId="2" type="noConversion"/>
  </si>
  <si>
    <t xml:space="preserve">○ 세출의 주요내용 </t>
    <phoneticPr fontId="2" type="noConversion"/>
  </si>
  <si>
    <t>■ 사업장명 : 참좋은기억학교</t>
    <phoneticPr fontId="2" type="noConversion"/>
  </si>
  <si>
    <t>*전년도이월금(사업수입): 5,847,480원 x 1회</t>
    <phoneticPr fontId="2" type="noConversion"/>
  </si>
  <si>
    <t>*시설장(18호봉): 4,047,900원 x 7월 x 1명</t>
    <phoneticPr fontId="2" type="noConversion"/>
  </si>
  <si>
    <t>*시설장(19호봉): 4,110,800원 x 5월 x 1명</t>
    <phoneticPr fontId="2" type="noConversion"/>
  </si>
  <si>
    <t>*조리사(연봉제):1,530,000원 x 12월 x 1명</t>
    <phoneticPr fontId="2" type="noConversion"/>
  </si>
  <si>
    <t>*간호조무사(연봉제): 1,880,000원 x 12월 x 1명</t>
    <phoneticPr fontId="2" type="noConversion"/>
  </si>
  <si>
    <t>임금보전액 : 210,340원 x 12회</t>
    <phoneticPr fontId="2" type="noConversion"/>
  </si>
  <si>
    <t>*임금보전액 : 2,524,080원</t>
    <phoneticPr fontId="2" type="noConversion"/>
  </si>
  <si>
    <t>*기타세금 및 협회비: 280,000원 x 5월</t>
    <phoneticPr fontId="2" type="noConversion"/>
  </si>
  <si>
    <t>*수용기관경비: 150,000원 x 2회</t>
    <phoneticPr fontId="2" type="noConversion"/>
  </si>
  <si>
    <t>*뷰티교실: 30,000원 x 2회</t>
    <phoneticPr fontId="2" type="noConversion"/>
  </si>
  <si>
    <t>*다도교실: 35,000원  x 4회</t>
    <phoneticPr fontId="2" type="noConversion"/>
  </si>
  <si>
    <t>*손글씨교실: 2,000원 x 40개 x 1회</t>
    <phoneticPr fontId="2" type="noConversion"/>
  </si>
  <si>
    <t>*보호자 자조모임(상,하반기): 200,000원 x 2회</t>
    <phoneticPr fontId="2" type="noConversion"/>
  </si>
  <si>
    <t>*기억학교협회 감사의 날: 500,000원 x 1회</t>
    <phoneticPr fontId="2" type="noConversion"/>
  </si>
  <si>
    <t>*사회복지사 보수교육: 24,000원 x 6명</t>
    <phoneticPr fontId="2" type="noConversion"/>
  </si>
  <si>
    <t>*기타예금이자수입 감액 조정</t>
    <phoneticPr fontId="2" type="noConversion"/>
  </si>
  <si>
    <t>3. 본 예산은 사회복지법인 재무회계규칙 제 2장 예산과 결산에 의거 편성하며 집행한다.</t>
    <phoneticPr fontId="2" type="noConversion"/>
  </si>
  <si>
    <t>명절상여금 : 10,585,090원 x 2회</t>
    <phoneticPr fontId="2" type="noConversion"/>
  </si>
  <si>
    <t>*선임사회복지사1(8호봉): 2,574,800원 x 8월 x 1명</t>
    <phoneticPr fontId="2" type="noConversion"/>
  </si>
  <si>
    <t>*선임사회복지사1(7호봉): 2,337,150원 x 4월 x 1명</t>
    <phoneticPr fontId="2" type="noConversion"/>
  </si>
  <si>
    <t>*사회복지사2(6호봉): 2,198,925원 x 12월 x 1명</t>
    <phoneticPr fontId="2" type="noConversion"/>
  </si>
  <si>
    <t>*사회복지사3(1호봉): 1,915,350원 x 12월 x 1명</t>
    <phoneticPr fontId="2" type="noConversion"/>
  </si>
  <si>
    <t>*사회복지사4(1호봉): 1,811,069원 x 11월 x 1명</t>
    <phoneticPr fontId="2" type="noConversion"/>
  </si>
  <si>
    <t>*사회복지사5(3호봉): 1,886,228원 x 7월 x 1명</t>
    <phoneticPr fontId="2" type="noConversion"/>
  </si>
  <si>
    <t>*사무원(퇴직): 1,973,200원 x 7월 x 1명</t>
    <phoneticPr fontId="2" type="noConversion"/>
  </si>
  <si>
    <t>가족수당 : 425,000원 x 4분기</t>
    <phoneticPr fontId="2" type="noConversion"/>
  </si>
  <si>
    <t>*가족수당 : 1,700,000원</t>
    <phoneticPr fontId="2" type="noConversion"/>
  </si>
  <si>
    <t>*기타후생경비: 100,000원 x 1회</t>
    <phoneticPr fontId="2" type="noConversion"/>
  </si>
  <si>
    <t>*회의비(직원회의, 운영위원회 등): 50,000원 x 2회</t>
    <phoneticPr fontId="2" type="noConversion"/>
  </si>
  <si>
    <t>*사무기기 렌탈임대료: 184,800원 x 12월</t>
    <phoneticPr fontId="2" type="noConversion"/>
  </si>
  <si>
    <t>*전기,도시가스,상하수도 등: 300,000원 x 12월</t>
    <phoneticPr fontId="2" type="noConversion"/>
  </si>
  <si>
    <t>*직원상용피복비: 36,000원 x 8명</t>
    <phoneticPr fontId="2" type="noConversion"/>
  </si>
  <si>
    <t>*송영차량구입 월할부금(쉐보레 스파크): 238,333원 x 12회</t>
    <phoneticPr fontId="2" type="noConversion"/>
  </si>
  <si>
    <t>*프로그램실 에어컨(2in1)구입 자산취득비 : 1,673,830원 x 1회</t>
    <phoneticPr fontId="2" type="noConversion"/>
  </si>
  <si>
    <t>*사회복지사(퇴직1): 2,318,447원 x 4월 x 1명</t>
    <phoneticPr fontId="2" type="noConversion"/>
  </si>
  <si>
    <t>*사회복지사(퇴직2): 939,000원 x 1월 x 1명</t>
    <phoneticPr fontId="2" type="noConversion"/>
  </si>
  <si>
    <t>*사회복지사(퇴직3): 3,112,677원 x 1월 x 1명</t>
    <phoneticPr fontId="2" type="noConversion"/>
  </si>
  <si>
    <t>*종사자 입퇴사로 인한 시군구보조금(인건비) 감액 조정</t>
    <phoneticPr fontId="2" type="noConversion"/>
  </si>
  <si>
    <t>*종사자 입퇴사로 인한 급여 감액 조정</t>
    <phoneticPr fontId="2" type="noConversion"/>
  </si>
  <si>
    <t>*종사자 입퇴사로 인한 퇴직금및퇴직적립금 감액 조정</t>
    <phoneticPr fontId="2" type="noConversion"/>
  </si>
  <si>
    <t>*종사자 입퇴사로 인한 사회보험부담금 감액 조정</t>
    <phoneticPr fontId="2" type="noConversion"/>
  </si>
  <si>
    <t>수용비및수수료</t>
    <phoneticPr fontId="2" type="noConversion"/>
  </si>
  <si>
    <t>*예비비 증액 조정</t>
    <phoneticPr fontId="2" type="noConversion"/>
  </si>
  <si>
    <t>*재개관 및 이용인원 증가로 인한 생계비 증액 조정</t>
    <phoneticPr fontId="2" type="noConversion"/>
  </si>
  <si>
    <t>*명절상여금 : 21,170,180원</t>
    <phoneticPr fontId="2" type="noConversion"/>
  </si>
  <si>
    <t>*기타잡수입(사회복지실습 外): 200,000원 x 1회</t>
    <phoneticPr fontId="2" type="noConversion"/>
  </si>
  <si>
    <t>*잡수입(직원식대): 290,000원 x 12월</t>
    <phoneticPr fontId="2" type="noConversion"/>
  </si>
  <si>
    <t>*기타예금이자수입: 14,035원 * 2회</t>
    <phoneticPr fontId="2" type="noConversion"/>
  </si>
  <si>
    <t>*실비수입(일1만원): 10,000원 x 16.9명 x 251일</t>
    <phoneticPr fontId="2" type="noConversion"/>
  </si>
  <si>
    <t>*시군구보조금(인건비): 77,047,112.5원 x 4분기</t>
    <phoneticPr fontId="2" type="noConversion"/>
  </si>
  <si>
    <t>*사무원(1호봉): 1,817,542원 x 5월 x 1명</t>
    <phoneticPr fontId="2" type="noConversion"/>
  </si>
  <si>
    <t>*기관운영비: 100,000원 x 1회</t>
    <phoneticPr fontId="2" type="noConversion"/>
  </si>
  <si>
    <t>*여비: 20,000원 x 2회</t>
    <phoneticPr fontId="2" type="noConversion"/>
  </si>
  <si>
    <t>*시설건물관리비: 500,000원 x 13회</t>
    <phoneticPr fontId="2" type="noConversion"/>
  </si>
  <si>
    <t>*난방 보일러 유지관리비 外: 550,000원 x 1회</t>
    <phoneticPr fontId="2" type="noConversion"/>
  </si>
  <si>
    <t>*차량관리비 및 수리비 : 200,000원 x 4회 x 3대</t>
    <phoneticPr fontId="2" type="noConversion"/>
  </si>
  <si>
    <t>*유류대: 500,000원 x 12월(송영차량 3대)</t>
    <phoneticPr fontId="2" type="noConversion"/>
  </si>
  <si>
    <t>*신원보증보험: 50,000원 x 3명</t>
    <phoneticPr fontId="2" type="noConversion"/>
  </si>
  <si>
    <t>*직원식대비: 290,000원 x 12월</t>
    <phoneticPr fontId="2" type="noConversion"/>
  </si>
  <si>
    <t>*사무기기(컴퓨터 등) 자산취득비: 300,000 x 3회</t>
    <phoneticPr fontId="2" type="noConversion"/>
  </si>
  <si>
    <t>*홍보출판비: 250,000원 x 4회</t>
    <phoneticPr fontId="2" type="noConversion"/>
  </si>
  <si>
    <t>*직원연수: 100,000원 x 1회</t>
    <phoneticPr fontId="2" type="noConversion"/>
  </si>
  <si>
    <t>*반환금(보조금예금이자수입 및 집행잔액): 100,000원 x 1회</t>
    <phoneticPr fontId="2" type="noConversion"/>
  </si>
  <si>
    <t>*기억학교협회 정규교과목 제본: 2,000,000원 x 1회</t>
    <phoneticPr fontId="2" type="noConversion"/>
  </si>
  <si>
    <t>*영업배상책임보험 外: 550,000원</t>
    <phoneticPr fontId="2" type="noConversion"/>
  </si>
  <si>
    <t>*자원봉사자 관리비: 100,000원 x 1회</t>
    <phoneticPr fontId="2" type="noConversion"/>
  </si>
  <si>
    <t>*유튜브 기억학교TV 제작비 등: 추가영상제작 취소</t>
    <phoneticPr fontId="2" type="noConversion"/>
  </si>
  <si>
    <t>*기타사업 및 교구구입비: 300,000원 x 1회</t>
    <phoneticPr fontId="2" type="noConversion"/>
  </si>
  <si>
    <t>*사무용품 및 집기구입: 500,000원 x 8회</t>
    <phoneticPr fontId="2" type="noConversion"/>
  </si>
  <si>
    <t>*기타운영비: 150,000원 x 4회</t>
    <phoneticPr fontId="2" type="noConversion"/>
  </si>
  <si>
    <t>*기타 시설장비유지관리: 300,000원 x 1회</t>
    <phoneticPr fontId="2" type="noConversion"/>
  </si>
  <si>
    <t>*생계비: 2,000원 x 29명 x 251일</t>
    <phoneticPr fontId="2" type="noConversion"/>
  </si>
  <si>
    <t>2차추경
(A)</t>
    <phoneticPr fontId="2" type="noConversion"/>
  </si>
  <si>
    <t>결산추경
(B)</t>
    <phoneticPr fontId="2" type="noConversion"/>
  </si>
  <si>
    <t>1. 참좋은기억학교의 2021년 결산 추가경정 세입,세출 예산은 다음과 같다.</t>
    <phoneticPr fontId="2" type="noConversion"/>
  </si>
  <si>
    <t>2021. 11</t>
    <phoneticPr fontId="2" type="noConversion"/>
  </si>
  <si>
    <r>
      <t xml:space="preserve">2. 세입.세출 예산 총액은 </t>
    </r>
    <r>
      <rPr>
        <b/>
        <u/>
        <sz val="12"/>
        <rFont val="굴림"/>
        <family val="3"/>
        <charset val="129"/>
      </rPr>
      <t>380,163,000원</t>
    </r>
    <r>
      <rPr>
        <sz val="12"/>
        <rFont val="굴림"/>
        <family val="3"/>
        <charset val="129"/>
      </rPr>
      <t>으로한다.</t>
    </r>
    <phoneticPr fontId="2" type="noConversion"/>
  </si>
  <si>
    <t>*퇴직적립금: 10,871,360원 x 2회</t>
    <phoneticPr fontId="2" type="noConversion"/>
  </si>
  <si>
    <t>*국민연금(4.5%) : 11,296,706원</t>
    <phoneticPr fontId="2" type="noConversion"/>
  </si>
  <si>
    <t>*건강보험(3.43%) : 8,610,600원</t>
    <phoneticPr fontId="2" type="noConversion"/>
  </si>
  <si>
    <t>*장기요양보험(11.52%) : 8,610,600원 x 11.52%</t>
    <phoneticPr fontId="2" type="noConversion"/>
  </si>
  <si>
    <t>*고용보험(1.25%) : 2,600,799원</t>
    <phoneticPr fontId="2" type="noConversion"/>
  </si>
  <si>
    <t>*산재보험(0.79%) : 1,596,974원</t>
    <phoneticPr fontId="2" type="noConversion"/>
  </si>
  <si>
    <t>*예비비: 154,044원 x 1회</t>
    <phoneticPr fontId="2" type="noConversion"/>
  </si>
  <si>
    <t>2021년
2차추경(A)</t>
    <phoneticPr fontId="17" type="noConversion"/>
  </si>
  <si>
    <t>2021년
결산추경(B)</t>
    <phoneticPr fontId="2" type="noConversion"/>
  </si>
  <si>
    <t>*재개관 정상운영으로 인한 이용료 수입 증액 조정</t>
    <phoneticPr fontId="2" type="noConversion"/>
  </si>
  <si>
    <t>*종사자 퇴사 및 사회복무요원 전출로 잡수입 감액 조정</t>
    <phoneticPr fontId="2" type="noConversion"/>
  </si>
  <si>
    <t>*코로나19 대유행 속 외부활동 축소로 기관운영비 감액 조정</t>
    <phoneticPr fontId="2" type="noConversion"/>
  </si>
  <si>
    <t>*코로나19 대유행 속 직원교육 참여기회 감소로 여비 감액 조정</t>
    <phoneticPr fontId="2" type="noConversion"/>
  </si>
  <si>
    <t>*사무기기(데스크탑) 신규 렌탈계약으로 인한 수용비 증액 조정</t>
    <phoneticPr fontId="2" type="noConversion"/>
  </si>
  <si>
    <t>*유류비 인상 및 차량 노후화로 인한 수리비 증가로 증액 조정</t>
    <phoneticPr fontId="2" type="noConversion"/>
  </si>
  <si>
    <t>*종사자 입퇴사로 인한 기타운영비(근무복 외) 증액 조정</t>
    <phoneticPr fontId="2" type="noConversion"/>
  </si>
  <si>
    <t>*노후된 집기류 교체 및 구입으로 인한 자산취득비 증액 조정</t>
    <phoneticPr fontId="2" type="noConversion"/>
  </si>
  <si>
    <t>*난방보일러 배관 수리로 인한 시설장비유지비 증액 조정</t>
    <phoneticPr fontId="2" type="noConversion"/>
  </si>
  <si>
    <t>특별지원사업비</t>
    <phoneticPr fontId="2" type="noConversion"/>
  </si>
  <si>
    <t>*홍보활동 증대 및 협회 정규교과목 교재 제본으로 증액 조정</t>
    <phoneticPr fontId="2" type="noConversion"/>
  </si>
  <si>
    <t>*코로나19 대유행으로 인한 직원연수 취소로 사업비 감액 조정</t>
    <phoneticPr fontId="2" type="noConversion"/>
  </si>
  <si>
    <t>*코로나19 대유행 속 자원봉사자 출입제한으로 사업비 감액</t>
    <phoneticPr fontId="2" type="noConversion"/>
  </si>
  <si>
    <t>봉사자및후원자관리비</t>
    <phoneticPr fontId="2" type="noConversion"/>
  </si>
  <si>
    <t>*유튜브 기억학교TV 제작 취소로 인해 사업비 감액 조정</t>
    <phoneticPr fontId="2" type="noConversion"/>
  </si>
  <si>
    <t xml:space="preserve">*보조금 지원사업집행 잔액 및 예금이자 반납 증액 조정 </t>
    <phoneticPr fontId="2" type="noConversion"/>
  </si>
  <si>
    <t>전년도이월금(사업수입)</t>
    <phoneticPr fontId="2" type="noConversion"/>
  </si>
  <si>
    <t>2021년 참좋은기억학교 결산추경 예산 증감사항 및 주요내용</t>
    <phoneticPr fontId="2" type="noConversion"/>
  </si>
  <si>
    <t>결산추경 세입.세출 예산(안)</t>
    <phoneticPr fontId="2" type="noConversion"/>
  </si>
  <si>
    <t>2021년 참좋은기억학교 결산추경 예산 총괄내역서</t>
    <phoneticPr fontId="2" type="noConversion"/>
  </si>
  <si>
    <t>1) 2021년 참좋은기억학교 결산추경 세입 예산 내역</t>
    <phoneticPr fontId="2" type="noConversion"/>
  </si>
  <si>
    <t>2) 2021년 참좋은기억학교 결산추경 세출 예산 내역</t>
    <phoneticPr fontId="2" type="noConversion"/>
  </si>
  <si>
    <t>*나들이행사(소규모): 300,000원 x 1회</t>
    <phoneticPr fontId="2" type="noConversion"/>
  </si>
  <si>
    <t>*코로나19 대유행 속 가을 나들이 취소로 사업비 감액 조정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</si>
</sst>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0_);[Red]\(0\)"/>
  </numFmts>
  <fonts count="2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sz val="20"/>
      <name val="굴림"/>
      <family val="3"/>
      <charset val="129"/>
    </font>
    <font>
      <b/>
      <sz val="9"/>
      <name val="굴림"/>
      <family val="3"/>
      <charset val="129"/>
    </font>
    <font>
      <sz val="9"/>
      <name val="굴림"/>
      <family val="3"/>
      <charset val="129"/>
    </font>
    <font>
      <b/>
      <sz val="16"/>
      <name val="굴림"/>
      <family val="3"/>
      <charset val="129"/>
    </font>
    <font>
      <b/>
      <sz val="25"/>
      <name val="굴림"/>
      <family val="3"/>
      <charset val="129"/>
    </font>
    <font>
      <sz val="12"/>
      <name val="굴림"/>
      <family val="3"/>
      <charset val="129"/>
    </font>
    <font>
      <b/>
      <u/>
      <sz val="12"/>
      <name val="굴림"/>
      <family val="3"/>
      <charset val="129"/>
    </font>
    <font>
      <sz val="8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9"/>
      <color rgb="FF000000"/>
      <name val="굴림"/>
      <family val="3"/>
      <charset val="129"/>
    </font>
    <font>
      <sz val="9"/>
      <color rgb="FF00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92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1" fontId="6" fillId="0" borderId="0" xfId="0" applyNumberFormat="1" applyFont="1" applyBorder="1" applyAlignment="1">
      <alignment horizontal="right" vertical="center"/>
    </xf>
    <xf numFmtId="41" fontId="6" fillId="0" borderId="0" xfId="0" applyNumberFormat="1" applyFont="1" applyBorder="1">
      <alignment vertical="center"/>
    </xf>
    <xf numFmtId="3" fontId="6" fillId="0" borderId="0" xfId="0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41" fontId="2" fillId="0" borderId="0" xfId="2" applyNumberFormat="1" applyFont="1">
      <alignment vertical="center"/>
    </xf>
    <xf numFmtId="0" fontId="2" fillId="0" borderId="0" xfId="2" applyFont="1">
      <alignment vertical="center"/>
    </xf>
    <xf numFmtId="0" fontId="10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3" fontId="11" fillId="0" borderId="10" xfId="0" applyNumberFormat="1" applyFont="1" applyBorder="1" applyAlignment="1">
      <alignment vertical="center"/>
    </xf>
    <xf numFmtId="3" fontId="11" fillId="0" borderId="11" xfId="0" applyNumberFormat="1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3" fontId="12" fillId="0" borderId="14" xfId="0" applyNumberFormat="1" applyFont="1" applyBorder="1" applyAlignment="1">
      <alignment vertical="center"/>
    </xf>
    <xf numFmtId="3" fontId="12" fillId="0" borderId="15" xfId="0" applyNumberFormat="1" applyFont="1" applyBorder="1" applyAlignment="1">
      <alignment horizontal="righ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3" fontId="12" fillId="0" borderId="21" xfId="0" applyNumberFormat="1" applyFont="1" applyBorder="1" applyAlignment="1">
      <alignment vertical="center"/>
    </xf>
    <xf numFmtId="3" fontId="12" fillId="0" borderId="22" xfId="0" applyNumberFormat="1" applyFont="1" applyBorder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3" fontId="12" fillId="0" borderId="25" xfId="0" applyNumberFormat="1" applyFont="1" applyBorder="1" applyAlignment="1">
      <alignment vertical="center"/>
    </xf>
    <xf numFmtId="3" fontId="12" fillId="0" borderId="26" xfId="0" applyNumberFormat="1" applyFont="1" applyBorder="1" applyAlignment="1">
      <alignment horizontal="right" vertical="center"/>
    </xf>
    <xf numFmtId="0" fontId="12" fillId="0" borderId="2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3" fontId="11" fillId="0" borderId="11" xfId="0" applyNumberFormat="1" applyFont="1" applyBorder="1" applyAlignment="1">
      <alignment vertical="center"/>
    </xf>
    <xf numFmtId="0" fontId="12" fillId="0" borderId="28" xfId="0" applyFont="1" applyBorder="1" applyAlignment="1">
      <alignment horizontal="center" vertical="center"/>
    </xf>
    <xf numFmtId="3" fontId="12" fillId="0" borderId="29" xfId="0" applyNumberFormat="1" applyFont="1" applyBorder="1" applyAlignment="1">
      <alignment vertical="center"/>
    </xf>
    <xf numFmtId="3" fontId="12" fillId="0" borderId="20" xfId="0" applyNumberFormat="1" applyFont="1" applyBorder="1">
      <alignment vertical="center"/>
    </xf>
    <xf numFmtId="3" fontId="12" fillId="0" borderId="25" xfId="0" applyNumberFormat="1" applyFont="1" applyBorder="1">
      <alignment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0" fontId="3" fillId="0" borderId="0" xfId="0" applyFont="1">
      <alignment vertical="center"/>
    </xf>
    <xf numFmtId="0" fontId="11" fillId="0" borderId="33" xfId="0" applyFont="1" applyBorder="1" applyAlignment="1">
      <alignment horizontal="center" vertical="center"/>
    </xf>
    <xf numFmtId="3" fontId="11" fillId="0" borderId="29" xfId="1" applyNumberFormat="1" applyFont="1" applyBorder="1" applyAlignment="1">
      <alignment vertical="center"/>
    </xf>
    <xf numFmtId="3" fontId="12" fillId="0" borderId="20" xfId="1" applyNumberFormat="1" applyFont="1" applyBorder="1" applyAlignment="1">
      <alignment vertical="center"/>
    </xf>
    <xf numFmtId="0" fontId="12" fillId="0" borderId="20" xfId="0" applyFont="1" applyBorder="1" applyAlignment="1">
      <alignment horizontal="left" vertical="center"/>
    </xf>
    <xf numFmtId="3" fontId="12" fillId="0" borderId="20" xfId="0" applyNumberFormat="1" applyFont="1" applyBorder="1" applyAlignment="1">
      <alignment vertical="center"/>
    </xf>
    <xf numFmtId="0" fontId="12" fillId="0" borderId="39" xfId="0" applyFont="1" applyBorder="1" applyAlignment="1">
      <alignment horizontal="left" vertical="center"/>
    </xf>
    <xf numFmtId="3" fontId="11" fillId="0" borderId="20" xfId="0" applyNumberFormat="1" applyFont="1" applyBorder="1" applyAlignment="1">
      <alignment vertical="center"/>
    </xf>
    <xf numFmtId="3" fontId="11" fillId="0" borderId="20" xfId="1" applyNumberFormat="1" applyFont="1" applyBorder="1" applyAlignment="1">
      <alignment vertical="center"/>
    </xf>
    <xf numFmtId="3" fontId="12" fillId="0" borderId="39" xfId="1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2" fillId="0" borderId="45" xfId="0" applyFont="1" applyBorder="1" applyAlignment="1">
      <alignment horizontal="left" vertical="center"/>
    </xf>
    <xf numFmtId="3" fontId="12" fillId="0" borderId="20" xfId="1" applyNumberFormat="1" applyFont="1" applyBorder="1" applyAlignment="1">
      <alignment horizontal="right" vertical="center"/>
    </xf>
    <xf numFmtId="3" fontId="11" fillId="0" borderId="20" xfId="1" applyNumberFormat="1" applyFont="1" applyBorder="1" applyAlignment="1">
      <alignment horizontal="right" vertical="center"/>
    </xf>
    <xf numFmtId="3" fontId="12" fillId="0" borderId="29" xfId="1" applyNumberFormat="1" applyFont="1" applyBorder="1" applyAlignment="1">
      <alignment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center"/>
    </xf>
    <xf numFmtId="0" fontId="12" fillId="0" borderId="37" xfId="0" applyFont="1" applyBorder="1" applyAlignment="1">
      <alignment horizontal="left" vertical="center"/>
    </xf>
    <xf numFmtId="0" fontId="12" fillId="0" borderId="29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7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48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3" fontId="12" fillId="0" borderId="39" xfId="0" applyNumberFormat="1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3" fontId="12" fillId="0" borderId="38" xfId="1" applyNumberFormat="1" applyFont="1" applyBorder="1" applyAlignment="1">
      <alignment vertical="center"/>
    </xf>
    <xf numFmtId="0" fontId="12" fillId="0" borderId="49" xfId="0" applyFont="1" applyBorder="1" applyAlignment="1">
      <alignment horizontal="left" vertical="center"/>
    </xf>
    <xf numFmtId="0" fontId="12" fillId="0" borderId="50" xfId="0" applyFont="1" applyBorder="1" applyAlignment="1">
      <alignment horizontal="left" vertical="center"/>
    </xf>
    <xf numFmtId="3" fontId="12" fillId="0" borderId="39" xfId="1" applyNumberFormat="1" applyFont="1" applyBorder="1" applyAlignment="1">
      <alignment horizontal="right" vertical="center"/>
    </xf>
    <xf numFmtId="3" fontId="12" fillId="0" borderId="38" xfId="1" applyNumberFormat="1" applyFont="1" applyBorder="1" applyAlignment="1">
      <alignment horizontal="right" vertical="center"/>
    </xf>
    <xf numFmtId="3" fontId="12" fillId="0" borderId="29" xfId="1" applyNumberFormat="1" applyFont="1" applyBorder="1" applyAlignment="1">
      <alignment horizontal="right" vertical="center"/>
    </xf>
    <xf numFmtId="0" fontId="12" fillId="0" borderId="51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 shrinkToFit="1"/>
    </xf>
    <xf numFmtId="0" fontId="12" fillId="0" borderId="40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3" fontId="12" fillId="0" borderId="30" xfId="0" applyNumberFormat="1" applyFont="1" applyBorder="1" applyAlignment="1">
      <alignment vertical="center"/>
    </xf>
    <xf numFmtId="3" fontId="12" fillId="0" borderId="15" xfId="0" applyNumberFormat="1" applyFont="1" applyBorder="1" applyAlignment="1">
      <alignment vertical="center"/>
    </xf>
    <xf numFmtId="0" fontId="3" fillId="0" borderId="0" xfId="2" applyFont="1">
      <alignment vertical="center"/>
    </xf>
    <xf numFmtId="0" fontId="12" fillId="0" borderId="0" xfId="2" applyFont="1" applyAlignment="1">
      <alignment horizontal="left" vertical="center"/>
    </xf>
    <xf numFmtId="3" fontId="12" fillId="0" borderId="0" xfId="2" applyNumberFormat="1" applyFont="1" applyAlignment="1">
      <alignment horizontal="right" vertical="center"/>
    </xf>
    <xf numFmtId="3" fontId="12" fillId="0" borderId="0" xfId="2" applyNumberFormat="1" applyFont="1">
      <alignment vertical="center"/>
    </xf>
    <xf numFmtId="3" fontId="12" fillId="0" borderId="39" xfId="2" applyNumberFormat="1" applyFont="1" applyBorder="1">
      <alignment vertical="center"/>
    </xf>
    <xf numFmtId="0" fontId="12" fillId="0" borderId="12" xfId="2" applyFont="1" applyBorder="1">
      <alignment vertical="center"/>
    </xf>
    <xf numFmtId="0" fontId="12" fillId="0" borderId="39" xfId="2" applyFont="1" applyBorder="1">
      <alignment vertical="center"/>
    </xf>
    <xf numFmtId="0" fontId="12" fillId="0" borderId="16" xfId="2" applyFont="1" applyBorder="1">
      <alignment vertical="center"/>
    </xf>
    <xf numFmtId="0" fontId="12" fillId="0" borderId="0" xfId="2" applyFont="1" applyBorder="1">
      <alignment vertical="center"/>
    </xf>
    <xf numFmtId="0" fontId="12" fillId="0" borderId="0" xfId="2" applyFont="1" applyBorder="1" applyAlignment="1">
      <alignment horizontal="left" vertical="center"/>
    </xf>
    <xf numFmtId="3" fontId="12" fillId="0" borderId="0" xfId="2" applyNumberFormat="1" applyFont="1" applyBorder="1" applyAlignment="1">
      <alignment horizontal="right" vertical="center"/>
    </xf>
    <xf numFmtId="3" fontId="12" fillId="0" borderId="0" xfId="2" applyNumberFormat="1" applyFont="1" applyBorder="1">
      <alignment vertical="center"/>
    </xf>
    <xf numFmtId="0" fontId="12" fillId="0" borderId="39" xfId="2" applyFont="1" applyBorder="1" applyAlignment="1">
      <alignment horizontal="left" vertical="center" shrinkToFit="1"/>
    </xf>
    <xf numFmtId="3" fontId="12" fillId="0" borderId="36" xfId="2" applyNumberFormat="1" applyFont="1" applyBorder="1">
      <alignment vertical="center"/>
    </xf>
    <xf numFmtId="3" fontId="12" fillId="0" borderId="36" xfId="2" applyNumberFormat="1" applyFont="1" applyBorder="1" applyAlignment="1">
      <alignment horizontal="right" vertical="center"/>
    </xf>
    <xf numFmtId="3" fontId="11" fillId="0" borderId="29" xfId="2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 shrinkToFit="1"/>
    </xf>
    <xf numFmtId="0" fontId="12" fillId="0" borderId="38" xfId="2" applyFont="1" applyBorder="1" applyAlignment="1">
      <alignment horizontal="left" vertical="center" shrinkToFit="1"/>
    </xf>
    <xf numFmtId="3" fontId="11" fillId="0" borderId="55" xfId="2" applyNumberFormat="1" applyFont="1" applyBorder="1" applyAlignment="1">
      <alignment horizontal="right" vertical="center"/>
    </xf>
    <xf numFmtId="3" fontId="12" fillId="0" borderId="55" xfId="2" applyNumberFormat="1" applyFont="1" applyBorder="1" applyAlignment="1">
      <alignment horizontal="right" vertical="center"/>
    </xf>
    <xf numFmtId="3" fontId="12" fillId="0" borderId="15" xfId="2" applyNumberFormat="1" applyFont="1" applyBorder="1" applyAlignment="1">
      <alignment horizontal="right" vertical="center"/>
    </xf>
    <xf numFmtId="3" fontId="12" fillId="0" borderId="58" xfId="2" quotePrefix="1" applyNumberFormat="1" applyFont="1" applyBorder="1" applyAlignment="1">
      <alignment horizontal="right" vertical="center"/>
    </xf>
    <xf numFmtId="3" fontId="12" fillId="0" borderId="56" xfId="2" quotePrefix="1" applyNumberFormat="1" applyFont="1" applyBorder="1" applyAlignment="1">
      <alignment horizontal="right" vertical="center"/>
    </xf>
    <xf numFmtId="0" fontId="12" fillId="0" borderId="48" xfId="2" applyFont="1" applyBorder="1">
      <alignment vertical="center"/>
    </xf>
    <xf numFmtId="0" fontId="12" fillId="0" borderId="40" xfId="0" applyFont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2" fillId="0" borderId="49" xfId="0" applyFont="1" applyBorder="1" applyAlignment="1">
      <alignment vertical="center" shrinkToFit="1"/>
    </xf>
    <xf numFmtId="41" fontId="11" fillId="0" borderId="33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right" vertical="center"/>
    </xf>
    <xf numFmtId="41" fontId="12" fillId="0" borderId="38" xfId="1" applyNumberFormat="1" applyFont="1" applyBorder="1" applyAlignment="1">
      <alignment horizontal="right" vertical="center"/>
    </xf>
    <xf numFmtId="41" fontId="12" fillId="0" borderId="29" xfId="1" applyNumberFormat="1" applyFont="1" applyBorder="1" applyAlignment="1">
      <alignment horizontal="right" vertical="center"/>
    </xf>
    <xf numFmtId="43" fontId="19" fillId="0" borderId="40" xfId="7" applyNumberFormat="1" applyFont="1" applyFill="1" applyBorder="1" applyAlignment="1">
      <alignment horizontal="right" vertical="center"/>
    </xf>
    <xf numFmtId="43" fontId="20" fillId="0" borderId="40" xfId="7" applyNumberFormat="1" applyFont="1" applyFill="1" applyBorder="1" applyAlignment="1">
      <alignment horizontal="right" vertical="center"/>
    </xf>
    <xf numFmtId="43" fontId="20" fillId="0" borderId="20" xfId="7" applyNumberFormat="1" applyFont="1" applyFill="1" applyBorder="1" applyAlignment="1">
      <alignment horizontal="right" vertical="center"/>
    </xf>
    <xf numFmtId="43" fontId="20" fillId="0" borderId="37" xfId="7" applyNumberFormat="1" applyFont="1" applyFill="1" applyBorder="1" applyAlignment="1">
      <alignment horizontal="right" vertical="center"/>
    </xf>
    <xf numFmtId="43" fontId="20" fillId="0" borderId="42" xfId="7" applyNumberFormat="1" applyFont="1" applyFill="1" applyBorder="1" applyAlignment="1">
      <alignment horizontal="right" vertical="center"/>
    </xf>
    <xf numFmtId="43" fontId="20" fillId="0" borderId="39" xfId="7" applyNumberFormat="1" applyFont="1" applyFill="1" applyBorder="1" applyAlignment="1">
      <alignment horizontal="right" vertical="center"/>
    </xf>
    <xf numFmtId="3" fontId="12" fillId="0" borderId="14" xfId="0" applyNumberFormat="1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49" fontId="12" fillId="0" borderId="49" xfId="0" applyNumberFormat="1" applyFont="1" applyBorder="1" applyAlignment="1">
      <alignment vertical="center" shrinkToFit="1"/>
    </xf>
    <xf numFmtId="3" fontId="12" fillId="0" borderId="21" xfId="0" applyNumberFormat="1" applyFont="1" applyBorder="1" applyAlignment="1">
      <alignment vertical="center" shrinkToFit="1"/>
    </xf>
    <xf numFmtId="0" fontId="12" fillId="0" borderId="49" xfId="0" applyFont="1" applyBorder="1" applyAlignment="1">
      <alignment vertical="center" wrapText="1"/>
    </xf>
    <xf numFmtId="3" fontId="12" fillId="0" borderId="40" xfId="0" applyNumberFormat="1" applyFont="1" applyBorder="1" applyAlignment="1">
      <alignment vertical="center" wrapText="1"/>
    </xf>
    <xf numFmtId="43" fontId="20" fillId="0" borderId="51" xfId="7" applyNumberFormat="1" applyFont="1" applyFill="1" applyBorder="1" applyAlignment="1">
      <alignment horizontal="right" vertical="center"/>
    </xf>
    <xf numFmtId="43" fontId="20" fillId="0" borderId="38" xfId="7" applyNumberFormat="1" applyFont="1" applyFill="1" applyBorder="1" applyAlignment="1">
      <alignment horizontal="right" vertical="center"/>
    </xf>
    <xf numFmtId="3" fontId="12" fillId="0" borderId="56" xfId="2" applyNumberFormat="1" applyFont="1" applyBorder="1" applyAlignment="1">
      <alignment horizontal="right" vertical="center"/>
    </xf>
    <xf numFmtId="3" fontId="12" fillId="0" borderId="20" xfId="2" applyNumberFormat="1" applyFont="1" applyBorder="1" applyAlignment="1">
      <alignment horizontal="right" vertical="center"/>
    </xf>
    <xf numFmtId="3" fontId="3" fillId="0" borderId="0" xfId="0" applyNumberFormat="1" applyFont="1">
      <alignment vertical="center"/>
    </xf>
    <xf numFmtId="3" fontId="12" fillId="0" borderId="21" xfId="2" applyNumberFormat="1" applyFont="1" applyBorder="1" applyAlignment="1">
      <alignment horizontal="right" vertical="center"/>
    </xf>
    <xf numFmtId="0" fontId="15" fillId="0" borderId="0" xfId="0" applyFont="1" applyAlignment="1">
      <alignment vertical="center" shrinkToFit="1"/>
    </xf>
    <xf numFmtId="43" fontId="20" fillId="0" borderId="49" xfId="7" applyNumberFormat="1" applyFont="1" applyFill="1" applyBorder="1" applyAlignment="1">
      <alignment horizontal="right" vertical="center"/>
    </xf>
    <xf numFmtId="0" fontId="12" fillId="0" borderId="21" xfId="0" applyFont="1" applyBorder="1" applyAlignment="1">
      <alignment horizontal="left" vertical="center"/>
    </xf>
    <xf numFmtId="3" fontId="12" fillId="0" borderId="13" xfId="1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2" fillId="0" borderId="49" xfId="0" applyFont="1" applyBorder="1" applyAlignment="1">
      <alignment horizontal="center" vertical="center"/>
    </xf>
    <xf numFmtId="0" fontId="12" fillId="0" borderId="66" xfId="0" applyFont="1" applyBorder="1" applyAlignment="1">
      <alignment horizontal="left" vertical="center"/>
    </xf>
    <xf numFmtId="43" fontId="19" fillId="0" borderId="14" xfId="7" applyNumberFormat="1" applyFont="1" applyFill="1" applyBorder="1" applyAlignment="1">
      <alignment horizontal="right" vertical="center"/>
    </xf>
    <xf numFmtId="0" fontId="12" fillId="0" borderId="50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65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0" fontId="12" fillId="0" borderId="3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3" fontId="12" fillId="0" borderId="49" xfId="0" applyNumberFormat="1" applyFont="1" applyBorder="1" applyAlignment="1">
      <alignment vertical="center"/>
    </xf>
    <xf numFmtId="43" fontId="20" fillId="0" borderId="29" xfId="7" applyNumberFormat="1" applyFont="1" applyFill="1" applyBorder="1" applyAlignment="1">
      <alignment horizontal="right" vertical="center"/>
    </xf>
    <xf numFmtId="3" fontId="12" fillId="0" borderId="49" xfId="0" applyNumberFormat="1" applyFont="1" applyBorder="1" applyAlignment="1">
      <alignment vertical="center" shrinkToFit="1"/>
    </xf>
    <xf numFmtId="43" fontId="20" fillId="0" borderId="14" xfId="7" applyNumberFormat="1" applyFont="1" applyFill="1" applyBorder="1" applyAlignment="1">
      <alignment horizontal="right" vertical="center"/>
    </xf>
    <xf numFmtId="0" fontId="12" fillId="0" borderId="67" xfId="0" applyFont="1" applyBorder="1" applyAlignment="1">
      <alignment horizontal="left" vertical="center"/>
    </xf>
    <xf numFmtId="3" fontId="12" fillId="0" borderId="50" xfId="1" applyNumberFormat="1" applyFont="1" applyBorder="1" applyAlignment="1">
      <alignment horizontal="right" vertical="center"/>
    </xf>
    <xf numFmtId="0" fontId="12" fillId="0" borderId="42" xfId="0" applyFont="1" applyBorder="1" applyAlignment="1">
      <alignment vertical="center" shrinkToFit="1"/>
    </xf>
    <xf numFmtId="3" fontId="12" fillId="0" borderId="40" xfId="0" applyNumberFormat="1" applyFont="1" applyBorder="1" applyAlignment="1">
      <alignment vertical="center" shrinkToFit="1"/>
    </xf>
    <xf numFmtId="0" fontId="12" fillId="0" borderId="39" xfId="2" applyFont="1" applyBorder="1" applyAlignment="1">
      <alignment vertical="center"/>
    </xf>
    <xf numFmtId="0" fontId="12" fillId="0" borderId="29" xfId="2" applyFont="1" applyBorder="1" applyAlignment="1">
      <alignment vertical="center"/>
    </xf>
    <xf numFmtId="0" fontId="12" fillId="0" borderId="38" xfId="2" applyFont="1" applyBorder="1" applyAlignment="1">
      <alignment vertical="center"/>
    </xf>
    <xf numFmtId="0" fontId="12" fillId="0" borderId="50" xfId="2" applyFont="1" applyBorder="1" applyAlignment="1">
      <alignment vertical="center"/>
    </xf>
    <xf numFmtId="3" fontId="12" fillId="0" borderId="43" xfId="2" applyNumberFormat="1" applyFont="1" applyBorder="1" applyAlignment="1">
      <alignment horizontal="right" vertical="center"/>
    </xf>
    <xf numFmtId="3" fontId="12" fillId="0" borderId="43" xfId="2" applyNumberFormat="1" applyFont="1" applyBorder="1">
      <alignment vertical="center"/>
    </xf>
    <xf numFmtId="3" fontId="13" fillId="0" borderId="0" xfId="2" applyNumberFormat="1" applyFont="1" applyAlignment="1">
      <alignment horizontal="center" vertical="center"/>
    </xf>
    <xf numFmtId="3" fontId="3" fillId="0" borderId="0" xfId="2" applyNumberFormat="1" applyFont="1">
      <alignment vertical="center"/>
    </xf>
    <xf numFmtId="3" fontId="12" fillId="0" borderId="20" xfId="1" applyNumberFormat="1" applyFont="1" applyBorder="1">
      <alignment vertical="center"/>
    </xf>
    <xf numFmtId="3" fontId="13" fillId="0" borderId="0" xfId="0" applyNumberFormat="1" applyFont="1" applyAlignment="1">
      <alignment horizontal="left" vertical="center"/>
    </xf>
    <xf numFmtId="3" fontId="11" fillId="0" borderId="33" xfId="0" applyNumberFormat="1" applyFont="1" applyBorder="1" applyAlignment="1">
      <alignment horizontal="center" vertical="center"/>
    </xf>
    <xf numFmtId="41" fontId="12" fillId="0" borderId="0" xfId="1" applyNumberFormat="1" applyFont="1">
      <alignment vertical="center"/>
    </xf>
    <xf numFmtId="41" fontId="12" fillId="0" borderId="63" xfId="1" applyNumberFormat="1" applyFont="1" applyBorder="1">
      <alignment vertical="center"/>
    </xf>
    <xf numFmtId="41" fontId="12" fillId="0" borderId="56" xfId="1" applyNumberFormat="1" applyFont="1" applyBorder="1">
      <alignment vertical="center"/>
    </xf>
    <xf numFmtId="41" fontId="12" fillId="0" borderId="58" xfId="1" applyNumberFormat="1" applyFont="1" applyBorder="1">
      <alignment vertical="center"/>
    </xf>
    <xf numFmtId="41" fontId="12" fillId="0" borderId="60" xfId="1" applyNumberFormat="1" applyFont="1" applyBorder="1">
      <alignment vertical="center"/>
    </xf>
    <xf numFmtId="41" fontId="12" fillId="0" borderId="55" xfId="1" applyNumberFormat="1" applyFont="1" applyBorder="1">
      <alignment vertical="center"/>
    </xf>
    <xf numFmtId="41" fontId="11" fillId="2" borderId="60" xfId="1" applyNumberFormat="1" applyFont="1" applyFill="1" applyBorder="1">
      <alignment vertical="center"/>
    </xf>
    <xf numFmtId="41" fontId="11" fillId="0" borderId="56" xfId="1" applyNumberFormat="1" applyFont="1" applyBorder="1">
      <alignment vertical="center"/>
    </xf>
    <xf numFmtId="41" fontId="12" fillId="0" borderId="64" xfId="1" applyNumberFormat="1" applyFont="1" applyBorder="1">
      <alignment vertical="center"/>
    </xf>
    <xf numFmtId="0" fontId="12" fillId="0" borderId="68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41" fontId="12" fillId="0" borderId="50" xfId="1" applyNumberFormat="1" applyFont="1" applyBorder="1" applyAlignment="1">
      <alignment horizontal="right" vertical="center"/>
    </xf>
    <xf numFmtId="0" fontId="12" fillId="0" borderId="68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3" fontId="12" fillId="0" borderId="42" xfId="0" applyNumberFormat="1" applyFont="1" applyBorder="1" applyAlignment="1">
      <alignment vertical="center" shrinkToFit="1"/>
    </xf>
    <xf numFmtId="3" fontId="3" fillId="0" borderId="0" xfId="0" applyNumberFormat="1" applyFont="1" applyAlignment="1">
      <alignment horizontal="right" vertical="center"/>
    </xf>
    <xf numFmtId="3" fontId="11" fillId="0" borderId="10" xfId="1" applyNumberFormat="1" applyFont="1" applyBorder="1" applyAlignment="1">
      <alignment horizontal="right" vertical="center"/>
    </xf>
    <xf numFmtId="3" fontId="11" fillId="0" borderId="38" xfId="1" applyNumberFormat="1" applyFont="1" applyBorder="1" applyAlignment="1">
      <alignment horizontal="right" vertical="center"/>
    </xf>
    <xf numFmtId="3" fontId="11" fillId="0" borderId="50" xfId="1" applyNumberFormat="1" applyFont="1" applyBorder="1" applyAlignment="1">
      <alignment horizontal="right" vertical="center"/>
    </xf>
    <xf numFmtId="3" fontId="11" fillId="0" borderId="29" xfId="1" applyNumberFormat="1" applyFont="1" applyBorder="1" applyAlignment="1">
      <alignment horizontal="right" vertical="center"/>
    </xf>
    <xf numFmtId="0" fontId="12" fillId="0" borderId="70" xfId="2" applyFont="1" applyBorder="1" applyAlignment="1">
      <alignment horizontal="center" vertical="center"/>
    </xf>
    <xf numFmtId="0" fontId="12" fillId="0" borderId="71" xfId="2" applyFont="1" applyBorder="1" applyAlignment="1">
      <alignment horizontal="center" vertical="center"/>
    </xf>
    <xf numFmtId="3" fontId="12" fillId="0" borderId="71" xfId="2" applyNumberFormat="1" applyFont="1" applyBorder="1" applyAlignment="1">
      <alignment horizontal="center" vertical="center" wrapText="1"/>
    </xf>
    <xf numFmtId="3" fontId="12" fillId="0" borderId="72" xfId="2" applyNumberFormat="1" applyFont="1" applyBorder="1" applyAlignment="1">
      <alignment horizontal="center" vertical="center"/>
    </xf>
    <xf numFmtId="3" fontId="11" fillId="0" borderId="40" xfId="2" applyNumberFormat="1" applyFont="1" applyBorder="1" applyAlignment="1">
      <alignment horizontal="right" vertical="center"/>
    </xf>
    <xf numFmtId="0" fontId="12" fillId="0" borderId="73" xfId="0" applyFont="1" applyBorder="1" applyAlignment="1">
      <alignment horizontal="left" vertical="center"/>
    </xf>
    <xf numFmtId="3" fontId="12" fillId="0" borderId="67" xfId="1" applyNumberFormat="1" applyFont="1" applyBorder="1" applyAlignment="1">
      <alignment vertical="center"/>
    </xf>
    <xf numFmtId="43" fontId="20" fillId="0" borderId="67" xfId="7" applyNumberFormat="1" applyFont="1" applyFill="1" applyBorder="1" applyAlignment="1">
      <alignment horizontal="right" vertical="center"/>
    </xf>
    <xf numFmtId="0" fontId="12" fillId="0" borderId="74" xfId="0" applyFont="1" applyBorder="1" applyAlignment="1">
      <alignment vertical="center" wrapText="1" shrinkToFit="1"/>
    </xf>
    <xf numFmtId="41" fontId="12" fillId="0" borderId="75" xfId="1" applyNumberFormat="1" applyFont="1" applyBorder="1">
      <alignment vertical="center"/>
    </xf>
    <xf numFmtId="3" fontId="12" fillId="0" borderId="55" xfId="2" quotePrefix="1" applyNumberFormat="1" applyFont="1" applyBorder="1" applyAlignment="1">
      <alignment horizontal="right" vertical="center"/>
    </xf>
    <xf numFmtId="0" fontId="12" fillId="0" borderId="76" xfId="0" applyFont="1" applyBorder="1" applyAlignment="1">
      <alignment horizontal="left" vertical="center"/>
    </xf>
    <xf numFmtId="0" fontId="12" fillId="0" borderId="59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3" fontId="12" fillId="0" borderId="32" xfId="1" applyNumberFormat="1" applyFont="1" applyBorder="1" applyAlignment="1">
      <alignment horizontal="right" vertical="center"/>
    </xf>
    <xf numFmtId="3" fontId="11" fillId="0" borderId="32" xfId="1" applyNumberFormat="1" applyFont="1" applyBorder="1" applyAlignment="1">
      <alignment horizontal="right" vertical="center"/>
    </xf>
    <xf numFmtId="41" fontId="12" fillId="0" borderId="32" xfId="1" applyNumberFormat="1" applyFont="1" applyBorder="1" applyAlignment="1">
      <alignment horizontal="right" vertical="center"/>
    </xf>
    <xf numFmtId="0" fontId="12" fillId="0" borderId="59" xfId="0" applyFont="1" applyBorder="1" applyAlignment="1">
      <alignment vertical="center" shrinkToFit="1"/>
    </xf>
    <xf numFmtId="41" fontId="12" fillId="0" borderId="54" xfId="1" applyNumberFormat="1" applyFont="1" applyBorder="1">
      <alignment vertical="center"/>
    </xf>
    <xf numFmtId="49" fontId="12" fillId="0" borderId="42" xfId="0" applyNumberFormat="1" applyFont="1" applyBorder="1" applyAlignment="1">
      <alignment vertical="center" shrinkToFit="1"/>
    </xf>
    <xf numFmtId="3" fontId="12" fillId="0" borderId="29" xfId="2" applyNumberFormat="1" applyFont="1" applyBorder="1" applyAlignment="1">
      <alignment horizontal="right" vertical="center"/>
    </xf>
    <xf numFmtId="0" fontId="12" fillId="0" borderId="49" xfId="2" applyFont="1" applyBorder="1">
      <alignment vertical="center"/>
    </xf>
    <xf numFmtId="3" fontId="12" fillId="0" borderId="21" xfId="1" applyNumberFormat="1" applyFont="1" applyBorder="1">
      <alignment vertical="center"/>
    </xf>
    <xf numFmtId="3" fontId="12" fillId="0" borderId="39" xfId="1" applyNumberFormat="1" applyFont="1" applyBorder="1">
      <alignment vertical="center"/>
    </xf>
    <xf numFmtId="3" fontId="12" fillId="0" borderId="38" xfId="2" applyNumberFormat="1" applyFont="1" applyBorder="1">
      <alignment vertical="center"/>
    </xf>
    <xf numFmtId="0" fontId="12" fillId="0" borderId="29" xfId="2" applyFont="1" applyBorder="1">
      <alignment vertical="center"/>
    </xf>
    <xf numFmtId="0" fontId="12" fillId="0" borderId="77" xfId="2" applyFont="1" applyBorder="1" applyAlignment="1">
      <alignment horizontal="left" vertical="center"/>
    </xf>
    <xf numFmtId="3" fontId="12" fillId="0" borderId="77" xfId="2" applyNumberFormat="1" applyFont="1" applyBorder="1">
      <alignment vertical="center"/>
    </xf>
    <xf numFmtId="3" fontId="12" fillId="0" borderId="77" xfId="2" quotePrefix="1" applyNumberFormat="1" applyFont="1" applyBorder="1" applyAlignment="1">
      <alignment horizontal="right" vertical="center"/>
    </xf>
    <xf numFmtId="3" fontId="12" fillId="0" borderId="21" xfId="2" applyNumberFormat="1" applyFont="1" applyBorder="1">
      <alignment vertical="center"/>
    </xf>
    <xf numFmtId="0" fontId="12" fillId="0" borderId="12" xfId="2" applyFont="1" applyBorder="1" applyAlignment="1">
      <alignment vertical="center"/>
    </xf>
    <xf numFmtId="0" fontId="12" fillId="0" borderId="17" xfId="2" applyFont="1" applyBorder="1" applyAlignment="1">
      <alignment vertical="center"/>
    </xf>
    <xf numFmtId="0" fontId="12" fillId="0" borderId="16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2" fillId="0" borderId="12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0" fontId="12" fillId="0" borderId="17" xfId="2" applyFont="1" applyBorder="1">
      <alignment vertical="center"/>
    </xf>
    <xf numFmtId="0" fontId="12" fillId="0" borderId="12" xfId="0" applyFont="1" applyBorder="1" applyAlignment="1">
      <alignment horizontal="left" vertical="center"/>
    </xf>
    <xf numFmtId="43" fontId="20" fillId="0" borderId="21" xfId="7" applyNumberFormat="1" applyFont="1" applyFill="1" applyBorder="1" applyAlignment="1">
      <alignment horizontal="right" vertical="center"/>
    </xf>
    <xf numFmtId="3" fontId="12" fillId="0" borderId="50" xfId="1" applyNumberFormat="1" applyFont="1" applyBorder="1" applyAlignment="1">
      <alignment vertical="center"/>
    </xf>
    <xf numFmtId="43" fontId="20" fillId="0" borderId="50" xfId="7" applyNumberFormat="1" applyFont="1" applyFill="1" applyBorder="1" applyAlignment="1">
      <alignment horizontal="right" vertical="center"/>
    </xf>
    <xf numFmtId="0" fontId="12" fillId="0" borderId="42" xfId="2" applyFont="1" applyBorder="1">
      <alignment vertical="center"/>
    </xf>
    <xf numFmtId="176" fontId="12" fillId="0" borderId="64" xfId="1" applyNumberFormat="1" applyFont="1" applyBorder="1">
      <alignment vertical="center"/>
    </xf>
    <xf numFmtId="176" fontId="12" fillId="0" borderId="56" xfId="1" applyNumberFormat="1" applyFont="1" applyBorder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65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12" fillId="0" borderId="43" xfId="0" applyFont="1" applyBorder="1" applyAlignment="1">
      <alignment horizontal="right" vertical="center"/>
    </xf>
    <xf numFmtId="0" fontId="0" fillId="0" borderId="43" xfId="0" applyBorder="1" applyAlignment="1">
      <alignment vertical="center"/>
    </xf>
    <xf numFmtId="0" fontId="11" fillId="0" borderId="46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3" fontId="11" fillId="0" borderId="32" xfId="0" applyNumberFormat="1" applyFont="1" applyBorder="1" applyAlignment="1">
      <alignment horizontal="center" vertical="center" wrapText="1"/>
    </xf>
    <xf numFmtId="3" fontId="11" fillId="0" borderId="34" xfId="0" applyNumberFormat="1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0" fillId="0" borderId="54" xfId="0" applyBorder="1" applyAlignment="1">
      <alignment vertical="center"/>
    </xf>
    <xf numFmtId="0" fontId="11" fillId="0" borderId="61" xfId="0" applyFont="1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12" fillId="0" borderId="3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3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3" fontId="12" fillId="0" borderId="14" xfId="2" applyNumberFormat="1" applyFont="1" applyBorder="1" applyAlignment="1">
      <alignment horizontal="left" vertical="center"/>
    </xf>
    <xf numFmtId="3" fontId="12" fillId="0" borderId="41" xfId="2" applyNumberFormat="1" applyFont="1" applyBorder="1" applyAlignment="1">
      <alignment horizontal="left" vertical="center"/>
    </xf>
    <xf numFmtId="3" fontId="12" fillId="0" borderId="56" xfId="2" applyNumberFormat="1" applyFont="1" applyBorder="1" applyAlignment="1">
      <alignment horizontal="left" vertical="center"/>
    </xf>
    <xf numFmtId="3" fontId="12" fillId="0" borderId="14" xfId="2" applyNumberFormat="1" applyFont="1" applyBorder="1" applyAlignment="1">
      <alignment horizontal="left" vertical="center" shrinkToFit="1"/>
    </xf>
    <xf numFmtId="3" fontId="12" fillId="0" borderId="41" xfId="2" applyNumberFormat="1" applyFont="1" applyBorder="1" applyAlignment="1">
      <alignment horizontal="left" vertical="center" shrinkToFit="1"/>
    </xf>
    <xf numFmtId="3" fontId="12" fillId="0" borderId="56" xfId="2" applyNumberFormat="1" applyFont="1" applyBorder="1" applyAlignment="1">
      <alignment horizontal="left" vertical="center" shrinkToFit="1"/>
    </xf>
    <xf numFmtId="3" fontId="12" fillId="0" borderId="52" xfId="2" applyNumberFormat="1" applyFont="1" applyBorder="1" applyAlignment="1">
      <alignment horizontal="left" vertical="center"/>
    </xf>
    <xf numFmtId="3" fontId="12" fillId="0" borderId="53" xfId="2" applyNumberFormat="1" applyFont="1" applyBorder="1" applyAlignment="1">
      <alignment horizontal="left" vertical="center"/>
    </xf>
    <xf numFmtId="3" fontId="12" fillId="0" borderId="57" xfId="2" applyNumberFormat="1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 shrinkToFit="1"/>
    </xf>
    <xf numFmtId="0" fontId="12" fillId="0" borderId="26" xfId="2" applyFont="1" applyBorder="1" applyAlignment="1">
      <alignment horizontal="left" vertical="center" shrinkToFit="1"/>
    </xf>
    <xf numFmtId="3" fontId="12" fillId="0" borderId="21" xfId="2" applyNumberFormat="1" applyFont="1" applyBorder="1" applyAlignment="1">
      <alignment horizontal="left" vertical="center"/>
    </xf>
    <xf numFmtId="3" fontId="12" fillId="0" borderId="36" xfId="2" applyNumberFormat="1" applyFont="1" applyBorder="1" applyAlignment="1">
      <alignment horizontal="left" vertical="center"/>
    </xf>
    <xf numFmtId="3" fontId="12" fillId="0" borderId="58" xfId="2" applyNumberFormat="1" applyFont="1" applyBorder="1" applyAlignment="1">
      <alignment horizontal="left" vertical="center"/>
    </xf>
    <xf numFmtId="3" fontId="12" fillId="0" borderId="20" xfId="1" applyNumberFormat="1" applyFont="1" applyBorder="1" applyAlignment="1">
      <alignment horizontal="left" vertical="center"/>
    </xf>
    <xf numFmtId="3" fontId="12" fillId="0" borderId="15" xfId="1" applyNumberFormat="1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2" fillId="0" borderId="69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</cellXfs>
  <cellStyles count="8">
    <cellStyle name="백분율" xfId="7" builtinId="5"/>
    <cellStyle name="쉼표 [0]" xfId="1" builtinId="6"/>
    <cellStyle name="쉼표 [0] 2" xfId="3" xr:uid="{00000000-0005-0000-0000-000002000000}"/>
    <cellStyle name="쉼표 [0] 3" xfId="4" xr:uid="{00000000-0005-0000-0000-000003000000}"/>
    <cellStyle name="표준" xfId="0" builtinId="0"/>
    <cellStyle name="표준 2" xfId="2" xr:uid="{00000000-0005-0000-0000-000005000000}"/>
    <cellStyle name="표준 3" xfId="5" xr:uid="{00000000-0005-0000-0000-000006000000}"/>
    <cellStyle name="표준 4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8277;&#51064;\&#52280;&#51339;&#51008;&#44592;&#50613;&#54617;&#44368;\2018&#45380;\1&#52264;&#52628;&#44221;\&#48148;&#53461;&#54868;&#47732;\&#52280;&#51339;&#51008;&#44592;&#50613;&#54617;&#44368;)%2017&#45380;%202&#52264;%20&#52628;&#44221;%20&#48143;%2018&#45380;%20&#49324;&#50629;&#44228;&#54925;\&#52280;&#51339;&#51008;&#44592;&#50613;&#54617;&#44368;)%202018&#45380;&#46020;%20&#48376;&#50696;&#4932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8277;&#51064;\&#52280;&#51339;&#51008;&#44592;&#50613;&#54617;&#44368;\2018&#45380;\1&#52264;&#52628;&#44221;\&#48148;&#53461;&#54868;&#47732;\&#52280;&#51339;&#51008;&#44592;&#50613;&#54617;&#44368;)%2017&#45380;%202&#52264;%20&#52628;&#44221;%20&#48143;%2018&#45380;%20&#49324;&#50629;&#44228;&#54925;\&#52280;&#51339;&#51008;&#44592;&#50613;&#54617;&#44368;)%202017&#45380;%202&#52264;%20&#52628;&#44221;%20&#50696;&#4932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총칙"/>
      <sheetName val="총괄"/>
      <sheetName val="세입"/>
      <sheetName val="세출"/>
      <sheetName val="본예산 변경 사유서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입소자부담금수입</v>
          </cell>
        </row>
        <row r="8">
          <cell r="C8" t="str">
            <v>입소비용수입</v>
          </cell>
        </row>
        <row r="9">
          <cell r="D9" t="str">
            <v>입소비용수입</v>
          </cell>
        </row>
      </sheetData>
      <sheetData sheetId="4" refreshError="1">
        <row r="8">
          <cell r="B8" t="str">
            <v>사무비</v>
          </cell>
        </row>
        <row r="9">
          <cell r="C9" t="str">
            <v>인건비</v>
          </cell>
        </row>
        <row r="10">
          <cell r="D10" t="str">
            <v>급여</v>
          </cell>
        </row>
        <row r="42">
          <cell r="D42" t="str">
            <v>퇴직금및퇴직적립금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총칙"/>
      <sheetName val="총괄"/>
      <sheetName val="세입"/>
      <sheetName val="세출"/>
      <sheetName val="결산추경 사유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9">
          <cell r="D39" t="str">
            <v>사회보험부담금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view="pageBreakPreview" zoomScale="60" zoomScaleNormal="100" workbookViewId="0">
      <selection activeCell="A5" sqref="A5"/>
    </sheetView>
  </sheetViews>
  <sheetFormatPr defaultRowHeight="13.5" x14ac:dyDescent="0.15"/>
  <cols>
    <col min="1" max="1" width="121.44140625" style="40" customWidth="1"/>
    <col min="2" max="16384" width="8.88671875" style="40"/>
  </cols>
  <sheetData>
    <row r="1" spans="1:1" ht="84.75" customHeight="1" x14ac:dyDescent="0.15">
      <c r="A1" s="1"/>
    </row>
    <row r="2" spans="1:1" ht="30" customHeight="1" x14ac:dyDescent="0.15">
      <c r="A2" s="56" t="s">
        <v>123</v>
      </c>
    </row>
    <row r="3" spans="1:1" ht="30" customHeight="1" x14ac:dyDescent="0.4">
      <c r="A3" s="57" t="s">
        <v>252</v>
      </c>
    </row>
    <row r="4" spans="1:1" ht="30" customHeight="1" x14ac:dyDescent="0.15">
      <c r="A4" s="1"/>
    </row>
    <row r="5" spans="1:1" ht="30" customHeight="1" x14ac:dyDescent="0.15">
      <c r="A5" s="1"/>
    </row>
    <row r="6" spans="1:1" ht="231" customHeight="1" x14ac:dyDescent="0.3">
      <c r="A6" s="12" t="s">
        <v>223</v>
      </c>
    </row>
    <row r="7" spans="1:1" ht="217.5" customHeight="1" x14ac:dyDescent="0.15">
      <c r="A7" s="1"/>
    </row>
    <row r="8" spans="1:1" ht="30" customHeight="1" x14ac:dyDescent="0.15">
      <c r="A8" s="2" t="s">
        <v>0</v>
      </c>
    </row>
    <row r="9" spans="1:1" ht="30" customHeight="1" x14ac:dyDescent="0.15">
      <c r="A9" s="3" t="s">
        <v>75</v>
      </c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80" firstPageNumber="183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1"/>
  <sheetViews>
    <sheetView view="pageBreakPreview" zoomScaleNormal="100" zoomScaleSheetLayoutView="100" workbookViewId="0">
      <selection activeCell="A6" sqref="A6"/>
    </sheetView>
  </sheetViews>
  <sheetFormatPr defaultRowHeight="13.5" x14ac:dyDescent="0.15"/>
  <cols>
    <col min="1" max="1" width="79.6640625" style="40" customWidth="1"/>
    <col min="2" max="16384" width="8.88671875" style="40"/>
  </cols>
  <sheetData>
    <row r="1" spans="1:1" ht="30" customHeight="1" x14ac:dyDescent="0.3">
      <c r="A1" s="58" t="s">
        <v>11</v>
      </c>
    </row>
    <row r="2" spans="1:1" ht="30" customHeight="1" x14ac:dyDescent="0.15">
      <c r="A2" s="59"/>
    </row>
    <row r="3" spans="1:1" ht="30" customHeight="1" x14ac:dyDescent="0.15">
      <c r="A3" s="60" t="s">
        <v>222</v>
      </c>
    </row>
    <row r="4" spans="1:1" ht="30" customHeight="1" x14ac:dyDescent="0.15">
      <c r="A4" s="60"/>
    </row>
    <row r="5" spans="1:1" ht="30" customHeight="1" x14ac:dyDescent="0.15">
      <c r="A5" s="60" t="s">
        <v>224</v>
      </c>
    </row>
    <row r="6" spans="1:1" ht="30" customHeight="1" x14ac:dyDescent="0.15">
      <c r="A6" s="60"/>
    </row>
    <row r="7" spans="1:1" ht="30" customHeight="1" x14ac:dyDescent="0.15">
      <c r="A7" s="60" t="s">
        <v>164</v>
      </c>
    </row>
    <row r="8" spans="1:1" ht="30" customHeight="1" x14ac:dyDescent="0.15">
      <c r="A8" s="60"/>
    </row>
    <row r="9" spans="1:1" ht="30" customHeight="1" x14ac:dyDescent="0.15">
      <c r="A9" s="138" t="s">
        <v>100</v>
      </c>
    </row>
    <row r="10" spans="1:1" ht="30" customHeight="1" x14ac:dyDescent="0.15">
      <c r="A10" s="60"/>
    </row>
    <row r="11" spans="1:1" ht="30" customHeight="1" x14ac:dyDescent="0.15">
      <c r="A11" s="142" t="s">
        <v>108</v>
      </c>
    </row>
    <row r="12" spans="1:1" ht="30" customHeight="1" x14ac:dyDescent="0.15">
      <c r="A12" s="142" t="s">
        <v>109</v>
      </c>
    </row>
    <row r="13" spans="1:1" ht="30" customHeight="1" x14ac:dyDescent="0.15">
      <c r="A13" s="142"/>
    </row>
    <row r="14" spans="1:1" ht="30" customHeight="1" x14ac:dyDescent="0.15">
      <c r="A14" s="142" t="s">
        <v>97</v>
      </c>
    </row>
    <row r="15" spans="1:1" ht="30" customHeight="1" x14ac:dyDescent="0.15">
      <c r="A15" s="142" t="s">
        <v>101</v>
      </c>
    </row>
    <row r="16" spans="1:1" ht="30" customHeight="1" x14ac:dyDescent="0.15">
      <c r="A16" s="142"/>
    </row>
    <row r="17" spans="1:1" ht="30" customHeight="1" x14ac:dyDescent="0.15">
      <c r="A17" s="142" t="s">
        <v>110</v>
      </c>
    </row>
    <row r="18" spans="1:1" ht="30" customHeight="1" x14ac:dyDescent="0.15">
      <c r="A18" s="142" t="s">
        <v>98</v>
      </c>
    </row>
    <row r="19" spans="1:1" ht="14.25" x14ac:dyDescent="0.15">
      <c r="A19" s="59"/>
    </row>
    <row r="20" spans="1:1" ht="14.25" x14ac:dyDescent="0.15">
      <c r="A20" s="59"/>
    </row>
    <row r="21" spans="1:1" ht="20.25" x14ac:dyDescent="0.25">
      <c r="A21" s="61"/>
    </row>
  </sheetData>
  <phoneticPr fontId="2" type="noConversion"/>
  <pageMargins left="0.94488188976377963" right="0.74803149606299213" top="0.98425196850393704" bottom="0.98425196850393704" header="0.51181102362204722" footer="0.51181102362204722"/>
  <pageSetup paperSize="9" scale="80" firstPageNumber="183" orientation="portrait" useFirstPageNumber="1" r:id="rId1"/>
  <headerFooter alignWithMargins="0">
    <oddFooter xml:space="preserve">&amp;R참좋은 기억학교(2021.11.30)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5"/>
  <sheetViews>
    <sheetView view="pageBreakPreview" zoomScaleNormal="100" zoomScaleSheetLayoutView="100" workbookViewId="0">
      <selection sqref="A1:E1"/>
    </sheetView>
  </sheetViews>
  <sheetFormatPr defaultRowHeight="13.5" x14ac:dyDescent="0.15"/>
  <cols>
    <col min="1" max="1" width="14.88671875" style="11" customWidth="1"/>
    <col min="2" max="2" width="15.88671875" style="11" customWidth="1"/>
    <col min="3" max="5" width="13.77734375" style="11" customWidth="1"/>
  </cols>
  <sheetData>
    <row r="1" spans="1:5" ht="39" customHeight="1" x14ac:dyDescent="0.15">
      <c r="A1" s="242" t="s">
        <v>253</v>
      </c>
      <c r="B1" s="242"/>
      <c r="C1" s="242"/>
      <c r="D1" s="242"/>
      <c r="E1" s="242"/>
    </row>
    <row r="2" spans="1:5" ht="18" customHeight="1" x14ac:dyDescent="0.15">
      <c r="A2" s="4"/>
      <c r="B2" s="4"/>
      <c r="C2" s="4"/>
      <c r="D2" s="4"/>
      <c r="E2" s="38" t="s">
        <v>85</v>
      </c>
    </row>
    <row r="3" spans="1:5" ht="21" customHeight="1" x14ac:dyDescent="0.15">
      <c r="A3" s="243" t="s">
        <v>1</v>
      </c>
      <c r="B3" s="244"/>
      <c r="C3" s="244"/>
      <c r="D3" s="244"/>
      <c r="E3" s="245"/>
    </row>
    <row r="4" spans="1:5" ht="21" customHeight="1" thickBot="1" x14ac:dyDescent="0.2">
      <c r="A4" s="13" t="s">
        <v>2</v>
      </c>
      <c r="B4" s="14" t="s">
        <v>3</v>
      </c>
      <c r="C4" s="102" t="s">
        <v>220</v>
      </c>
      <c r="D4" s="103" t="s">
        <v>221</v>
      </c>
      <c r="E4" s="15" t="s">
        <v>4</v>
      </c>
    </row>
    <row r="5" spans="1:5" ht="21" customHeight="1" thickTop="1" x14ac:dyDescent="0.15">
      <c r="A5" s="246" t="s">
        <v>5</v>
      </c>
      <c r="B5" s="247"/>
      <c r="C5" s="16">
        <f>C6+C7+C8+C9+C10+C11</f>
        <v>376979000</v>
      </c>
      <c r="D5" s="16">
        <f>D6+D7+D8+D9+D10+D11</f>
        <v>380163000</v>
      </c>
      <c r="E5" s="17">
        <f>E6+E7+E8+E9+E10+E11</f>
        <v>3184000</v>
      </c>
    </row>
    <row r="6" spans="1:5" ht="21" customHeight="1" x14ac:dyDescent="0.15">
      <c r="A6" s="81" t="s">
        <v>76</v>
      </c>
      <c r="B6" s="18" t="s">
        <v>77</v>
      </c>
      <c r="C6" s="19">
        <f>'결산추경예산내역-세입'!D7</f>
        <v>37650000</v>
      </c>
      <c r="D6" s="19">
        <f>'결산추경예산내역-세입'!E8</f>
        <v>42419000</v>
      </c>
      <c r="E6" s="20">
        <f t="shared" ref="E6:E11" si="0">D6-C6</f>
        <v>4769000</v>
      </c>
    </row>
    <row r="7" spans="1:5" ht="21" customHeight="1" x14ac:dyDescent="0.15">
      <c r="A7" s="21" t="s">
        <v>78</v>
      </c>
      <c r="B7" s="18" t="s">
        <v>79</v>
      </c>
      <c r="C7" s="19">
        <f>'결산추경예산내역-세입'!D11</f>
        <v>329661400</v>
      </c>
      <c r="D7" s="19">
        <f>'결산추경예산내역-세입'!E12</f>
        <v>328188450</v>
      </c>
      <c r="E7" s="20">
        <f t="shared" si="0"/>
        <v>-1472950</v>
      </c>
    </row>
    <row r="8" spans="1:5" ht="21" customHeight="1" x14ac:dyDescent="0.15">
      <c r="A8" s="82" t="s">
        <v>81</v>
      </c>
      <c r="B8" s="18" t="s">
        <v>80</v>
      </c>
      <c r="C8" s="19">
        <v>0</v>
      </c>
      <c r="D8" s="19">
        <v>0</v>
      </c>
      <c r="E8" s="20">
        <f t="shared" si="0"/>
        <v>0</v>
      </c>
    </row>
    <row r="9" spans="1:5" ht="21" customHeight="1" x14ac:dyDescent="0.15">
      <c r="A9" s="21" t="s">
        <v>82</v>
      </c>
      <c r="B9" s="18" t="s">
        <v>82</v>
      </c>
      <c r="C9" s="19">
        <v>0</v>
      </c>
      <c r="D9" s="19">
        <v>0</v>
      </c>
      <c r="E9" s="20">
        <f t="shared" si="0"/>
        <v>0</v>
      </c>
    </row>
    <row r="10" spans="1:5" ht="21" customHeight="1" x14ac:dyDescent="0.15">
      <c r="A10" s="22" t="s">
        <v>83</v>
      </c>
      <c r="B10" s="23" t="s">
        <v>83</v>
      </c>
      <c r="C10" s="24">
        <f>'결산추경예산내역-세입'!D25</f>
        <v>3820120</v>
      </c>
      <c r="D10" s="24">
        <f>'결산추경예산내역-세입'!E26</f>
        <v>3708070</v>
      </c>
      <c r="E10" s="25">
        <f t="shared" si="0"/>
        <v>-112050</v>
      </c>
    </row>
    <row r="11" spans="1:5" ht="21" customHeight="1" x14ac:dyDescent="0.15">
      <c r="A11" s="26" t="s">
        <v>84</v>
      </c>
      <c r="B11" s="27" t="s">
        <v>84</v>
      </c>
      <c r="C11" s="28">
        <f>'결산추경예산내역-세입'!D32</f>
        <v>5847480</v>
      </c>
      <c r="D11" s="28">
        <f>'결산추경예산내역-세입'!E33</f>
        <v>5847480</v>
      </c>
      <c r="E11" s="29">
        <f t="shared" si="0"/>
        <v>0</v>
      </c>
    </row>
    <row r="12" spans="1:5" ht="21" customHeight="1" x14ac:dyDescent="0.15">
      <c r="A12" s="5"/>
      <c r="B12" s="5"/>
      <c r="C12" s="6"/>
      <c r="D12" s="7"/>
      <c r="E12" s="8"/>
    </row>
    <row r="13" spans="1:5" ht="21" customHeight="1" x14ac:dyDescent="0.15">
      <c r="A13" s="9"/>
      <c r="B13" s="9"/>
      <c r="C13" s="9"/>
      <c r="D13" s="9"/>
      <c r="E13" s="37" t="s">
        <v>85</v>
      </c>
    </row>
    <row r="14" spans="1:5" ht="21" customHeight="1" x14ac:dyDescent="0.15">
      <c r="A14" s="243" t="s">
        <v>6</v>
      </c>
      <c r="B14" s="244"/>
      <c r="C14" s="244"/>
      <c r="D14" s="244"/>
      <c r="E14" s="245"/>
    </row>
    <row r="15" spans="1:5" ht="21" customHeight="1" thickBot="1" x14ac:dyDescent="0.2">
      <c r="A15" s="13" t="s">
        <v>7</v>
      </c>
      <c r="B15" s="14" t="s">
        <v>8</v>
      </c>
      <c r="C15" s="102" t="s">
        <v>220</v>
      </c>
      <c r="D15" s="103" t="s">
        <v>221</v>
      </c>
      <c r="E15" s="15" t="s">
        <v>9</v>
      </c>
    </row>
    <row r="16" spans="1:5" ht="21" customHeight="1" thickTop="1" x14ac:dyDescent="0.15">
      <c r="A16" s="30" t="s">
        <v>10</v>
      </c>
      <c r="B16" s="31"/>
      <c r="C16" s="16">
        <f>SUM(C17:C24)</f>
        <v>376979000</v>
      </c>
      <c r="D16" s="16">
        <f>SUM(D17:D24)</f>
        <v>380163000.12</v>
      </c>
      <c r="E16" s="32">
        <f t="shared" ref="E16:E24" si="1">D16-C16</f>
        <v>3184000.1200000048</v>
      </c>
    </row>
    <row r="17" spans="1:5" ht="21" customHeight="1" x14ac:dyDescent="0.15">
      <c r="A17" s="239" t="s">
        <v>86</v>
      </c>
      <c r="B17" s="33" t="s">
        <v>87</v>
      </c>
      <c r="C17" s="34">
        <f>'결산추경예산내역-세출'!D8</f>
        <v>312285480</v>
      </c>
      <c r="D17" s="34">
        <f>'결산추경예산내역-세출'!E8</f>
        <v>310812530.12</v>
      </c>
      <c r="E17" s="84">
        <f t="shared" si="1"/>
        <v>-1472949.8799999952</v>
      </c>
    </row>
    <row r="18" spans="1:5" ht="21" customHeight="1" x14ac:dyDescent="0.15">
      <c r="A18" s="240"/>
      <c r="B18" s="18" t="s">
        <v>89</v>
      </c>
      <c r="C18" s="35">
        <f>'결산추경예산내역-세출'!D42</f>
        <v>400000</v>
      </c>
      <c r="D18" s="35">
        <f>'결산추경예산내역-세출'!E42</f>
        <v>200000</v>
      </c>
      <c r="E18" s="85">
        <f t="shared" si="1"/>
        <v>-200000</v>
      </c>
    </row>
    <row r="19" spans="1:5" ht="21" customHeight="1" x14ac:dyDescent="0.15">
      <c r="A19" s="241"/>
      <c r="B19" s="18" t="s">
        <v>88</v>
      </c>
      <c r="C19" s="35">
        <f>'결산추경예산내역-세출'!D47</f>
        <v>35497600</v>
      </c>
      <c r="D19" s="35">
        <f>'결산추경예산내역-세출'!E47</f>
        <v>37225600</v>
      </c>
      <c r="E19" s="85">
        <f t="shared" si="1"/>
        <v>1728000</v>
      </c>
    </row>
    <row r="20" spans="1:5" ht="21" customHeight="1" x14ac:dyDescent="0.15">
      <c r="A20" s="21" t="s">
        <v>90</v>
      </c>
      <c r="B20" s="18" t="s">
        <v>91</v>
      </c>
      <c r="C20" s="35">
        <f>'결산추경예산내역-세출'!D73</f>
        <v>5633826</v>
      </c>
      <c r="D20" s="35">
        <f>'결산추경예산내역-세출'!E72</f>
        <v>6283826</v>
      </c>
      <c r="E20" s="85">
        <f t="shared" si="1"/>
        <v>650000</v>
      </c>
    </row>
    <row r="21" spans="1:5" ht="21" customHeight="1" x14ac:dyDescent="0.15">
      <c r="A21" s="239" t="s">
        <v>92</v>
      </c>
      <c r="B21" s="18" t="s">
        <v>88</v>
      </c>
      <c r="C21" s="35">
        <f>'결산추경예산내역-세출'!D82</f>
        <v>13352000</v>
      </c>
      <c r="D21" s="35">
        <f>'결산추경예산내역-세출'!E82</f>
        <v>14858000</v>
      </c>
      <c r="E21" s="85">
        <f t="shared" si="1"/>
        <v>1506000</v>
      </c>
    </row>
    <row r="22" spans="1:5" ht="21" customHeight="1" x14ac:dyDescent="0.15">
      <c r="A22" s="240"/>
      <c r="B22" s="18" t="s">
        <v>92</v>
      </c>
      <c r="C22" s="35">
        <f>'결산추경예산내역-세출'!D87</f>
        <v>7130000</v>
      </c>
      <c r="D22" s="35">
        <f>'결산추경예산내역-세출'!E87</f>
        <v>6730000</v>
      </c>
      <c r="E22" s="85">
        <f t="shared" si="1"/>
        <v>-400000</v>
      </c>
    </row>
    <row r="23" spans="1:5" ht="21" customHeight="1" x14ac:dyDescent="0.15">
      <c r="A23" s="241"/>
      <c r="B23" s="18" t="s">
        <v>94</v>
      </c>
      <c r="C23" s="35">
        <f>'결산추경예산내역-세출'!D113</f>
        <v>2579000</v>
      </c>
      <c r="D23" s="35">
        <f>'결산추경예산내역-세출'!E113</f>
        <v>3799000</v>
      </c>
      <c r="E23" s="85">
        <f t="shared" si="1"/>
        <v>1220000</v>
      </c>
    </row>
    <row r="24" spans="1:5" ht="21" customHeight="1" x14ac:dyDescent="0.15">
      <c r="A24" s="26" t="s">
        <v>93</v>
      </c>
      <c r="B24" s="27" t="s">
        <v>93</v>
      </c>
      <c r="C24" s="36">
        <f>'결산추경예산내역-세출'!D129</f>
        <v>101094</v>
      </c>
      <c r="D24" s="36">
        <f>'결산추경예산내역-세출'!E128</f>
        <v>254044</v>
      </c>
      <c r="E24" s="39">
        <f t="shared" si="1"/>
        <v>152950</v>
      </c>
    </row>
    <row r="25" spans="1:5" x14ac:dyDescent="0.15">
      <c r="A25" s="10"/>
      <c r="B25" s="10"/>
    </row>
  </sheetData>
  <mergeCells count="6">
    <mergeCell ref="A17:A19"/>
    <mergeCell ref="A21:A23"/>
    <mergeCell ref="A1:E1"/>
    <mergeCell ref="A3:E3"/>
    <mergeCell ref="A5:B5"/>
    <mergeCell ref="A14:E14"/>
  </mergeCells>
  <phoneticPr fontId="2" type="noConversion"/>
  <pageMargins left="0.78740157480314965" right="0.74803149606299213" top="0.98425196850393704" bottom="0.98425196850393704" header="0.51181102362204722" footer="0.51181102362204722"/>
  <pageSetup paperSize="9" firstPageNumber="185" orientation="portrait" useFirstPageNumber="1" r:id="rId1"/>
  <headerFooter alignWithMargins="0">
    <oddFooter>&amp;R참좋은기억학교(2021.11.30)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76988-6C48-4CE1-A165-0BCC03F39710}">
  <dimension ref="A1:I35"/>
  <sheetViews>
    <sheetView tabSelected="1" view="pageBreakPreview" zoomScaleNormal="100" zoomScaleSheetLayoutView="100" workbookViewId="0">
      <selection activeCell="H7" sqref="H7"/>
    </sheetView>
  </sheetViews>
  <sheetFormatPr defaultRowHeight="13.5" x14ac:dyDescent="0.15"/>
  <cols>
    <col min="1" max="1" width="9.44140625" style="40" customWidth="1"/>
    <col min="2" max="2" width="10.21875" style="40" customWidth="1"/>
    <col min="3" max="3" width="12.6640625" style="40" customWidth="1"/>
    <col min="4" max="4" width="12.6640625" style="136" customWidth="1"/>
    <col min="5" max="5" width="13" style="136" customWidth="1"/>
    <col min="6" max="6" width="11.77734375" style="136" customWidth="1"/>
    <col min="7" max="7" width="10.109375" style="83" customWidth="1"/>
    <col min="8" max="8" width="40.33203125" style="40" customWidth="1"/>
    <col min="9" max="9" width="13.21875" style="175" bestFit="1" customWidth="1"/>
    <col min="10" max="10" width="11.44140625" style="40" bestFit="1" customWidth="1"/>
    <col min="11" max="11" width="12.44140625" style="40" bestFit="1" customWidth="1"/>
    <col min="12" max="16384" width="8.88671875" style="40"/>
  </cols>
  <sheetData>
    <row r="1" spans="1:9" ht="20.100000000000001" customHeight="1" x14ac:dyDescent="0.15">
      <c r="A1" s="251" t="s">
        <v>254</v>
      </c>
      <c r="B1" s="251"/>
      <c r="C1" s="251"/>
      <c r="D1" s="251"/>
      <c r="E1" s="251"/>
      <c r="F1" s="251"/>
      <c r="G1" s="251"/>
      <c r="H1" s="251"/>
    </row>
    <row r="2" spans="1:9" ht="20.100000000000001" customHeight="1" x14ac:dyDescent="0.15">
      <c r="A2" s="155"/>
      <c r="B2" s="155"/>
      <c r="C2" s="155"/>
      <c r="D2" s="173"/>
      <c r="E2" s="173"/>
      <c r="F2" s="173"/>
      <c r="G2" s="155"/>
      <c r="H2" s="155"/>
    </row>
    <row r="3" spans="1:9" ht="20.100000000000001" customHeight="1" x14ac:dyDescent="0.15">
      <c r="A3" s="252" t="s">
        <v>147</v>
      </c>
      <c r="B3" s="253"/>
      <c r="C3" s="253"/>
      <c r="H3" s="254" t="s">
        <v>12</v>
      </c>
      <c r="I3" s="255"/>
    </row>
    <row r="4" spans="1:9" ht="20.100000000000001" customHeight="1" x14ac:dyDescent="0.15">
      <c r="A4" s="256" t="s">
        <v>13</v>
      </c>
      <c r="B4" s="257"/>
      <c r="C4" s="244"/>
      <c r="D4" s="258" t="s">
        <v>220</v>
      </c>
      <c r="E4" s="258" t="s">
        <v>221</v>
      </c>
      <c r="F4" s="260" t="s">
        <v>4</v>
      </c>
      <c r="G4" s="260"/>
      <c r="H4" s="261" t="s">
        <v>14</v>
      </c>
      <c r="I4" s="262"/>
    </row>
    <row r="5" spans="1:9" ht="20.100000000000001" customHeight="1" thickBot="1" x14ac:dyDescent="0.2">
      <c r="A5" s="13" t="s">
        <v>15</v>
      </c>
      <c r="B5" s="41" t="s">
        <v>16</v>
      </c>
      <c r="C5" s="41" t="s">
        <v>17</v>
      </c>
      <c r="D5" s="259"/>
      <c r="E5" s="259"/>
      <c r="F5" s="174" t="s">
        <v>18</v>
      </c>
      <c r="G5" s="115" t="s">
        <v>19</v>
      </c>
      <c r="H5" s="263"/>
      <c r="I5" s="264"/>
    </row>
    <row r="6" spans="1:9" ht="20.100000000000001" customHeight="1" thickTop="1" x14ac:dyDescent="0.15">
      <c r="A6" s="246" t="s">
        <v>20</v>
      </c>
      <c r="B6" s="265"/>
      <c r="C6" s="266"/>
      <c r="D6" s="42">
        <f>D7+D11+D18+D22+D25+D32</f>
        <v>376979000</v>
      </c>
      <c r="E6" s="42">
        <f>E7+E11+E18+E22+E25+E32</f>
        <v>380163000</v>
      </c>
      <c r="F6" s="42">
        <f>E6-D6</f>
        <v>3184000</v>
      </c>
      <c r="G6" s="119">
        <f>E6/D6*100</f>
        <v>100.84460938142443</v>
      </c>
      <c r="H6" s="111"/>
      <c r="I6" s="176"/>
    </row>
    <row r="7" spans="1:9" ht="20.100000000000001" customHeight="1" x14ac:dyDescent="0.15">
      <c r="A7" s="248" t="s">
        <v>30</v>
      </c>
      <c r="B7" s="249"/>
      <c r="C7" s="250"/>
      <c r="D7" s="48">
        <f>D8</f>
        <v>37650000</v>
      </c>
      <c r="E7" s="48">
        <f>E8</f>
        <v>42419000</v>
      </c>
      <c r="F7" s="42">
        <f t="shared" ref="F7:F34" si="0">E7-D7</f>
        <v>4769000</v>
      </c>
      <c r="G7" s="119">
        <f>E7/D7*100</f>
        <v>112.66666666666667</v>
      </c>
      <c r="H7" s="112" t="s">
        <v>31</v>
      </c>
      <c r="I7" s="177"/>
    </row>
    <row r="8" spans="1:9" ht="20.100000000000001" customHeight="1" x14ac:dyDescent="0.15">
      <c r="A8" s="240"/>
      <c r="B8" s="267" t="s">
        <v>31</v>
      </c>
      <c r="C8" s="250"/>
      <c r="D8" s="43">
        <f>D9</f>
        <v>37650000</v>
      </c>
      <c r="E8" s="43">
        <f>E9</f>
        <v>42419000</v>
      </c>
      <c r="F8" s="55">
        <f t="shared" si="0"/>
        <v>4769000</v>
      </c>
      <c r="G8" s="120">
        <f t="shared" ref="G8:G34" si="1">E8/D8*100</f>
        <v>112.66666666666667</v>
      </c>
      <c r="H8" s="112" t="s">
        <v>31</v>
      </c>
      <c r="I8" s="177"/>
    </row>
    <row r="9" spans="1:9" ht="20.100000000000001" customHeight="1" x14ac:dyDescent="0.15">
      <c r="A9" s="240"/>
      <c r="B9" s="268"/>
      <c r="C9" s="46" t="s">
        <v>31</v>
      </c>
      <c r="D9" s="70">
        <v>37650000</v>
      </c>
      <c r="E9" s="70">
        <f>I10</f>
        <v>42419000</v>
      </c>
      <c r="F9" s="49">
        <f t="shared" si="0"/>
        <v>4769000</v>
      </c>
      <c r="G9" s="122">
        <f t="shared" si="1"/>
        <v>112.66666666666667</v>
      </c>
      <c r="H9" s="113" t="s">
        <v>31</v>
      </c>
      <c r="I9" s="178"/>
    </row>
    <row r="10" spans="1:9" ht="20.100000000000001" customHeight="1" x14ac:dyDescent="0.15">
      <c r="A10" s="240"/>
      <c r="B10" s="268"/>
      <c r="C10" s="68"/>
      <c r="D10" s="71"/>
      <c r="E10" s="71"/>
      <c r="F10" s="72"/>
      <c r="G10" s="132"/>
      <c r="H10" s="114" t="s">
        <v>196</v>
      </c>
      <c r="I10" s="179">
        <f>10000*16.9*251</f>
        <v>42419000</v>
      </c>
    </row>
    <row r="11" spans="1:9" ht="20.100000000000001" customHeight="1" x14ac:dyDescent="0.15">
      <c r="A11" s="248" t="s">
        <v>32</v>
      </c>
      <c r="B11" s="249"/>
      <c r="C11" s="250"/>
      <c r="D11" s="47">
        <f>D12</f>
        <v>329661400</v>
      </c>
      <c r="E11" s="47">
        <f>E12</f>
        <v>328188450</v>
      </c>
      <c r="F11" s="48">
        <f t="shared" si="0"/>
        <v>-1472950</v>
      </c>
      <c r="G11" s="121">
        <f t="shared" si="1"/>
        <v>99.553193064156133</v>
      </c>
      <c r="H11" s="112" t="s">
        <v>32</v>
      </c>
      <c r="I11" s="177"/>
    </row>
    <row r="12" spans="1:9" ht="20.100000000000001" customHeight="1" x14ac:dyDescent="0.15">
      <c r="A12" s="64"/>
      <c r="B12" s="267" t="s">
        <v>32</v>
      </c>
      <c r="C12" s="250"/>
      <c r="D12" s="70">
        <f>SUM(D13:D18)</f>
        <v>329661400</v>
      </c>
      <c r="E12" s="70">
        <f>SUM(E13:E18)</f>
        <v>328188450</v>
      </c>
      <c r="F12" s="55">
        <f t="shared" si="0"/>
        <v>-1472950</v>
      </c>
      <c r="G12" s="120">
        <f t="shared" si="1"/>
        <v>99.553193064156133</v>
      </c>
      <c r="H12" s="112" t="s">
        <v>39</v>
      </c>
      <c r="I12" s="177"/>
    </row>
    <row r="13" spans="1:9" ht="20.100000000000001" customHeight="1" x14ac:dyDescent="0.15">
      <c r="A13" s="64"/>
      <c r="B13" s="154"/>
      <c r="C13" s="69" t="s">
        <v>126</v>
      </c>
      <c r="D13" s="45">
        <v>0</v>
      </c>
      <c r="E13" s="45">
        <v>0</v>
      </c>
      <c r="F13" s="43">
        <f t="shared" si="0"/>
        <v>0</v>
      </c>
      <c r="G13" s="120">
        <v>0</v>
      </c>
      <c r="H13" s="112" t="s">
        <v>121</v>
      </c>
      <c r="I13" s="238">
        <v>0</v>
      </c>
    </row>
    <row r="14" spans="1:9" ht="20.100000000000001" customHeight="1" x14ac:dyDescent="0.15">
      <c r="A14" s="64"/>
      <c r="B14" s="154"/>
      <c r="C14" s="46" t="s">
        <v>127</v>
      </c>
      <c r="D14" s="70">
        <v>0</v>
      </c>
      <c r="E14" s="70">
        <v>0</v>
      </c>
      <c r="F14" s="49">
        <f t="shared" si="0"/>
        <v>0</v>
      </c>
      <c r="G14" s="120">
        <v>0</v>
      </c>
      <c r="H14" s="112" t="s">
        <v>122</v>
      </c>
      <c r="I14" s="238">
        <v>0</v>
      </c>
    </row>
    <row r="15" spans="1:9" ht="20.100000000000001" customHeight="1" x14ac:dyDescent="0.15">
      <c r="A15" s="64"/>
      <c r="B15" s="154"/>
      <c r="C15" s="46" t="s">
        <v>128</v>
      </c>
      <c r="D15" s="24">
        <v>329661400</v>
      </c>
      <c r="E15" s="70">
        <f>I16+I17</f>
        <v>328188450</v>
      </c>
      <c r="F15" s="49">
        <f t="shared" si="0"/>
        <v>-1472950</v>
      </c>
      <c r="G15" s="139">
        <f t="shared" si="1"/>
        <v>99.553193064156133</v>
      </c>
      <c r="H15" s="113" t="s">
        <v>120</v>
      </c>
      <c r="I15" s="178"/>
    </row>
    <row r="16" spans="1:9" ht="20.100000000000001" customHeight="1" x14ac:dyDescent="0.15">
      <c r="A16" s="64"/>
      <c r="B16" s="154"/>
      <c r="C16" s="68"/>
      <c r="D16" s="156"/>
      <c r="E16" s="71"/>
      <c r="F16" s="72"/>
      <c r="G16" s="133"/>
      <c r="H16" s="114" t="s">
        <v>197</v>
      </c>
      <c r="I16" s="179">
        <f>77047112.5*4</f>
        <v>308188450</v>
      </c>
    </row>
    <row r="17" spans="1:9" ht="20.100000000000001" customHeight="1" x14ac:dyDescent="0.15">
      <c r="A17" s="64"/>
      <c r="B17" s="154"/>
      <c r="C17" s="68"/>
      <c r="D17" s="156"/>
      <c r="E17" s="71"/>
      <c r="F17" s="72"/>
      <c r="G17" s="139"/>
      <c r="H17" s="111" t="s">
        <v>124</v>
      </c>
      <c r="I17" s="180">
        <f>5000000*4</f>
        <v>20000000</v>
      </c>
    </row>
    <row r="18" spans="1:9" ht="20.100000000000001" customHeight="1" x14ac:dyDescent="0.15">
      <c r="A18" s="248" t="s">
        <v>33</v>
      </c>
      <c r="B18" s="249"/>
      <c r="C18" s="250"/>
      <c r="D18" s="47">
        <v>0</v>
      </c>
      <c r="E18" s="47">
        <v>0</v>
      </c>
      <c r="F18" s="48">
        <f t="shared" ref="F18:F29" si="2">E18-D18</f>
        <v>0</v>
      </c>
      <c r="G18" s="121">
        <v>0</v>
      </c>
      <c r="H18" s="112" t="s">
        <v>33</v>
      </c>
      <c r="I18" s="177"/>
    </row>
    <row r="19" spans="1:9" ht="20.100000000000001" customHeight="1" x14ac:dyDescent="0.15">
      <c r="A19" s="64"/>
      <c r="B19" s="267" t="s">
        <v>33</v>
      </c>
      <c r="C19" s="250"/>
      <c r="D19" s="45">
        <v>0</v>
      </c>
      <c r="E19" s="45">
        <v>0</v>
      </c>
      <c r="F19" s="55">
        <f t="shared" si="2"/>
        <v>0</v>
      </c>
      <c r="G19" s="120">
        <v>0</v>
      </c>
      <c r="H19" s="112" t="s">
        <v>33</v>
      </c>
      <c r="I19" s="177"/>
    </row>
    <row r="20" spans="1:9" ht="20.100000000000001" customHeight="1" x14ac:dyDescent="0.15">
      <c r="A20" s="64"/>
      <c r="B20" s="154"/>
      <c r="C20" s="69" t="s">
        <v>34</v>
      </c>
      <c r="D20" s="45">
        <v>0</v>
      </c>
      <c r="E20" s="45">
        <v>0</v>
      </c>
      <c r="F20" s="55">
        <f t="shared" si="2"/>
        <v>0</v>
      </c>
      <c r="G20" s="120">
        <v>0</v>
      </c>
      <c r="H20" s="112" t="s">
        <v>34</v>
      </c>
      <c r="I20" s="238">
        <v>0</v>
      </c>
    </row>
    <row r="21" spans="1:9" ht="20.100000000000001" customHeight="1" x14ac:dyDescent="0.15">
      <c r="A21" s="64"/>
      <c r="B21" s="154"/>
      <c r="C21" s="44" t="s">
        <v>35</v>
      </c>
      <c r="D21" s="45">
        <v>0</v>
      </c>
      <c r="E21" s="45">
        <v>0</v>
      </c>
      <c r="F21" s="55">
        <f t="shared" si="2"/>
        <v>0</v>
      </c>
      <c r="G21" s="120">
        <v>0</v>
      </c>
      <c r="H21" s="112" t="s">
        <v>35</v>
      </c>
      <c r="I21" s="238">
        <v>0</v>
      </c>
    </row>
    <row r="22" spans="1:9" ht="20.100000000000001" customHeight="1" x14ac:dyDescent="0.15">
      <c r="A22" s="248" t="s">
        <v>37</v>
      </c>
      <c r="B22" s="249"/>
      <c r="C22" s="250"/>
      <c r="D22" s="47">
        <v>0</v>
      </c>
      <c r="E22" s="47">
        <v>0</v>
      </c>
      <c r="F22" s="42">
        <f t="shared" si="2"/>
        <v>0</v>
      </c>
      <c r="G22" s="120">
        <v>0</v>
      </c>
      <c r="H22" s="112" t="s">
        <v>37</v>
      </c>
      <c r="I22" s="177"/>
    </row>
    <row r="23" spans="1:9" ht="20.100000000000001" customHeight="1" x14ac:dyDescent="0.15">
      <c r="A23" s="64"/>
      <c r="B23" s="267" t="s">
        <v>37</v>
      </c>
      <c r="C23" s="250"/>
      <c r="D23" s="45">
        <v>0</v>
      </c>
      <c r="E23" s="45">
        <v>0</v>
      </c>
      <c r="F23" s="55">
        <f t="shared" si="2"/>
        <v>0</v>
      </c>
      <c r="G23" s="120">
        <v>0</v>
      </c>
      <c r="H23" s="112" t="s">
        <v>37</v>
      </c>
      <c r="I23" s="177"/>
    </row>
    <row r="24" spans="1:9" ht="20.100000000000001" customHeight="1" x14ac:dyDescent="0.15">
      <c r="A24" s="64"/>
      <c r="B24" s="63"/>
      <c r="C24" s="69" t="s">
        <v>38</v>
      </c>
      <c r="D24" s="45">
        <v>0</v>
      </c>
      <c r="E24" s="45">
        <v>0</v>
      </c>
      <c r="F24" s="55">
        <f t="shared" si="2"/>
        <v>0</v>
      </c>
      <c r="G24" s="120">
        <v>0</v>
      </c>
      <c r="H24" s="112" t="s">
        <v>38</v>
      </c>
      <c r="I24" s="238">
        <v>0</v>
      </c>
    </row>
    <row r="25" spans="1:9" ht="20.100000000000001" customHeight="1" x14ac:dyDescent="0.15">
      <c r="A25" s="152" t="s">
        <v>24</v>
      </c>
      <c r="B25" s="153"/>
      <c r="C25" s="151"/>
      <c r="D25" s="48">
        <f>D26</f>
        <v>3820120</v>
      </c>
      <c r="E25" s="48">
        <f>E26</f>
        <v>3708070</v>
      </c>
      <c r="F25" s="42">
        <f t="shared" si="2"/>
        <v>-112050</v>
      </c>
      <c r="G25" s="119">
        <f t="shared" si="1"/>
        <v>97.066846067662794</v>
      </c>
      <c r="H25" s="112" t="s">
        <v>24</v>
      </c>
      <c r="I25" s="177"/>
    </row>
    <row r="26" spans="1:9" ht="20.100000000000001" customHeight="1" x14ac:dyDescent="0.15">
      <c r="A26" s="232"/>
      <c r="B26" s="140" t="s">
        <v>24</v>
      </c>
      <c r="C26" s="62"/>
      <c r="D26" s="49">
        <f>D27+D29</f>
        <v>3820120</v>
      </c>
      <c r="E26" s="49">
        <f>E27+E29</f>
        <v>3708070</v>
      </c>
      <c r="F26" s="49">
        <f t="shared" si="2"/>
        <v>-112050</v>
      </c>
      <c r="G26" s="233">
        <f t="shared" si="1"/>
        <v>97.066846067662794</v>
      </c>
      <c r="H26" s="113" t="s">
        <v>24</v>
      </c>
      <c r="I26" s="178"/>
    </row>
    <row r="27" spans="1:9" ht="20.100000000000001" customHeight="1" x14ac:dyDescent="0.15">
      <c r="A27" s="66"/>
      <c r="B27" s="140"/>
      <c r="C27" s="46" t="s">
        <v>96</v>
      </c>
      <c r="D27" s="49">
        <v>28120</v>
      </c>
      <c r="E27" s="49">
        <f>I28</f>
        <v>28070</v>
      </c>
      <c r="F27" s="49">
        <f t="shared" si="2"/>
        <v>-50</v>
      </c>
      <c r="G27" s="124">
        <f t="shared" si="1"/>
        <v>99.822190611664297</v>
      </c>
      <c r="H27" s="113" t="s">
        <v>96</v>
      </c>
      <c r="I27" s="178"/>
    </row>
    <row r="28" spans="1:9" ht="20.100000000000001" customHeight="1" x14ac:dyDescent="0.15">
      <c r="A28" s="184"/>
      <c r="B28" s="185"/>
      <c r="C28" s="74"/>
      <c r="D28" s="234"/>
      <c r="E28" s="234"/>
      <c r="F28" s="234"/>
      <c r="G28" s="235"/>
      <c r="H28" s="162" t="s">
        <v>195</v>
      </c>
      <c r="I28" s="183">
        <f>14035*2</f>
        <v>28070</v>
      </c>
    </row>
    <row r="29" spans="1:9" ht="20.100000000000001" customHeight="1" x14ac:dyDescent="0.15">
      <c r="A29" s="65"/>
      <c r="B29" s="68"/>
      <c r="C29" s="68" t="s">
        <v>36</v>
      </c>
      <c r="D29" s="72">
        <v>3792000</v>
      </c>
      <c r="E29" s="72">
        <f>I30+I31</f>
        <v>3680000</v>
      </c>
      <c r="F29" s="72">
        <f t="shared" si="2"/>
        <v>-112000</v>
      </c>
      <c r="G29" s="133">
        <f t="shared" si="1"/>
        <v>97.046413502109701</v>
      </c>
      <c r="H29" s="114" t="s">
        <v>36</v>
      </c>
      <c r="I29" s="179"/>
    </row>
    <row r="30" spans="1:9" ht="20.100000000000001" customHeight="1" x14ac:dyDescent="0.15">
      <c r="A30" s="65"/>
      <c r="B30" s="73"/>
      <c r="C30" s="68"/>
      <c r="D30" s="72"/>
      <c r="E30" s="72"/>
      <c r="F30" s="72"/>
      <c r="G30" s="133"/>
      <c r="H30" s="114" t="s">
        <v>194</v>
      </c>
      <c r="I30" s="179">
        <f>290000*12</f>
        <v>3480000</v>
      </c>
    </row>
    <row r="31" spans="1:9" ht="20.100000000000001" customHeight="1" x14ac:dyDescent="0.15">
      <c r="A31" s="65"/>
      <c r="B31" s="73"/>
      <c r="C31" s="68"/>
      <c r="D31" s="72"/>
      <c r="E31" s="72"/>
      <c r="F31" s="72"/>
      <c r="G31" s="133"/>
      <c r="H31" s="114" t="s">
        <v>193</v>
      </c>
      <c r="I31" s="179">
        <f>200000*1</f>
        <v>200000</v>
      </c>
    </row>
    <row r="32" spans="1:9" ht="20.100000000000001" customHeight="1" x14ac:dyDescent="0.15">
      <c r="A32" s="152" t="s">
        <v>21</v>
      </c>
      <c r="B32" s="153"/>
      <c r="C32" s="151"/>
      <c r="D32" s="48">
        <f>D33</f>
        <v>5847480</v>
      </c>
      <c r="E32" s="48">
        <f>E33</f>
        <v>5847480</v>
      </c>
      <c r="F32" s="48">
        <f>E32-D32</f>
        <v>0</v>
      </c>
      <c r="G32" s="145">
        <f t="shared" si="1"/>
        <v>100</v>
      </c>
      <c r="H32" s="112" t="s">
        <v>40</v>
      </c>
      <c r="I32" s="177"/>
    </row>
    <row r="33" spans="1:9" ht="20.100000000000001" customHeight="1" x14ac:dyDescent="0.15">
      <c r="A33" s="65"/>
      <c r="B33" s="150" t="s">
        <v>22</v>
      </c>
      <c r="C33" s="151"/>
      <c r="D33" s="43">
        <f>D34</f>
        <v>5847480</v>
      </c>
      <c r="E33" s="43">
        <f>E34</f>
        <v>5847480</v>
      </c>
      <c r="F33" s="55">
        <f t="shared" si="0"/>
        <v>0</v>
      </c>
      <c r="G33" s="120">
        <f t="shared" si="1"/>
        <v>100</v>
      </c>
      <c r="H33" s="112" t="s">
        <v>118</v>
      </c>
      <c r="I33" s="177"/>
    </row>
    <row r="34" spans="1:9" ht="20.100000000000001" customHeight="1" x14ac:dyDescent="0.15">
      <c r="A34" s="65"/>
      <c r="B34" s="140"/>
      <c r="C34" s="46" t="s">
        <v>23</v>
      </c>
      <c r="D34" s="49">
        <v>5847480</v>
      </c>
      <c r="E34" s="49">
        <v>5847480</v>
      </c>
      <c r="F34" s="72">
        <f t="shared" si="0"/>
        <v>0</v>
      </c>
      <c r="G34" s="139">
        <f t="shared" si="1"/>
        <v>100</v>
      </c>
      <c r="H34" s="113" t="s">
        <v>250</v>
      </c>
      <c r="I34" s="179"/>
    </row>
    <row r="35" spans="1:9" ht="20.100000000000001" customHeight="1" thickBot="1" x14ac:dyDescent="0.2">
      <c r="A35" s="144"/>
      <c r="B35" s="160"/>
      <c r="C35" s="200"/>
      <c r="D35" s="201"/>
      <c r="E35" s="201"/>
      <c r="F35" s="201"/>
      <c r="G35" s="202"/>
      <c r="H35" s="203" t="s">
        <v>148</v>
      </c>
      <c r="I35" s="204">
        <f>5847480*1</f>
        <v>5847480</v>
      </c>
    </row>
  </sheetData>
  <mergeCells count="19">
    <mergeCell ref="B12:C12"/>
    <mergeCell ref="A18:C18"/>
    <mergeCell ref="B19:C19"/>
    <mergeCell ref="A22:C22"/>
    <mergeCell ref="B23:C23"/>
    <mergeCell ref="A11:C11"/>
    <mergeCell ref="A1:H1"/>
    <mergeCell ref="A3:C3"/>
    <mergeCell ref="H3:I3"/>
    <mergeCell ref="A4:C4"/>
    <mergeCell ref="D4:D5"/>
    <mergeCell ref="E4:E5"/>
    <mergeCell ref="F4:G4"/>
    <mergeCell ref="H4:I5"/>
    <mergeCell ref="A6:C6"/>
    <mergeCell ref="A7:C7"/>
    <mergeCell ref="A8:A10"/>
    <mergeCell ref="B8:C8"/>
    <mergeCell ref="B9:B10"/>
  </mergeCells>
  <phoneticPr fontId="2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firstPageNumber="3" orientation="landscape" useFirstPageNumber="1" r:id="rId1"/>
  <headerFooter alignWithMargins="0">
    <oddFooter>&amp;R참좋은기억학교(2021.11.30)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DD661-140D-4FC6-80BC-47CB7E3F97A8}">
  <dimension ref="A1:K133"/>
  <sheetViews>
    <sheetView view="pageBreakPreview" zoomScaleNormal="100" zoomScaleSheetLayoutView="100" workbookViewId="0">
      <selection activeCell="I107" sqref="I107"/>
    </sheetView>
  </sheetViews>
  <sheetFormatPr defaultRowHeight="13.5" x14ac:dyDescent="0.15"/>
  <cols>
    <col min="1" max="1" width="9.44140625" style="40" customWidth="1"/>
    <col min="2" max="2" width="10.21875" style="40" customWidth="1"/>
    <col min="3" max="3" width="12.6640625" style="40" customWidth="1"/>
    <col min="4" max="4" width="12.6640625" style="136" customWidth="1"/>
    <col min="5" max="5" width="13" style="136" customWidth="1"/>
    <col min="6" max="6" width="11.77734375" style="190" customWidth="1"/>
    <col min="7" max="7" width="10.109375" style="83" customWidth="1"/>
    <col min="8" max="8" width="40.33203125" style="40" customWidth="1"/>
    <col min="9" max="9" width="13.21875" style="175" bestFit="1" customWidth="1"/>
    <col min="10" max="11" width="12.44140625" style="40" bestFit="1" customWidth="1"/>
    <col min="12" max="16384" width="8.88671875" style="40"/>
  </cols>
  <sheetData>
    <row r="1" spans="1:10" ht="20.100000000000001" customHeight="1" x14ac:dyDescent="0.15">
      <c r="A1" s="50" t="s">
        <v>255</v>
      </c>
      <c r="B1" s="50"/>
      <c r="C1" s="51"/>
      <c r="G1" s="116"/>
    </row>
    <row r="2" spans="1:10" ht="20.100000000000001" customHeight="1" x14ac:dyDescent="0.15">
      <c r="A2" s="50"/>
      <c r="B2" s="50"/>
      <c r="C2" s="51"/>
      <c r="G2" s="116"/>
    </row>
    <row r="3" spans="1:10" ht="20.100000000000001" customHeight="1" x14ac:dyDescent="0.15">
      <c r="A3" s="252" t="s">
        <v>147</v>
      </c>
      <c r="B3" s="252"/>
      <c r="C3" s="252"/>
      <c r="H3" s="254" t="s">
        <v>12</v>
      </c>
      <c r="I3" s="255"/>
    </row>
    <row r="4" spans="1:10" ht="20.100000000000001" customHeight="1" x14ac:dyDescent="0.15">
      <c r="A4" s="243" t="s">
        <v>13</v>
      </c>
      <c r="B4" s="260"/>
      <c r="C4" s="260"/>
      <c r="D4" s="258" t="s">
        <v>220</v>
      </c>
      <c r="E4" s="258" t="s">
        <v>221</v>
      </c>
      <c r="F4" s="260" t="s">
        <v>4</v>
      </c>
      <c r="G4" s="260"/>
      <c r="H4" s="261" t="s">
        <v>14</v>
      </c>
      <c r="I4" s="262"/>
    </row>
    <row r="5" spans="1:10" ht="20.100000000000001" customHeight="1" thickBot="1" x14ac:dyDescent="0.2">
      <c r="A5" s="13" t="s">
        <v>15</v>
      </c>
      <c r="B5" s="41" t="s">
        <v>16</v>
      </c>
      <c r="C5" s="41" t="s">
        <v>17</v>
      </c>
      <c r="D5" s="259"/>
      <c r="E5" s="259"/>
      <c r="F5" s="174" t="s">
        <v>18</v>
      </c>
      <c r="G5" s="115" t="s">
        <v>19</v>
      </c>
      <c r="H5" s="263"/>
      <c r="I5" s="264"/>
      <c r="J5" s="83">
        <f>'결산추경예산내역-세입'!E6-E6</f>
        <v>-0.12000000476837158</v>
      </c>
    </row>
    <row r="6" spans="1:10" ht="20.100000000000001" customHeight="1" thickTop="1" x14ac:dyDescent="0.15">
      <c r="A6" s="269" t="s">
        <v>20</v>
      </c>
      <c r="B6" s="270"/>
      <c r="C6" s="270"/>
      <c r="D6" s="191">
        <f>D7+D72+D81+D128</f>
        <v>376979000</v>
      </c>
      <c r="E6" s="191">
        <f>E7+E72+E81+E128</f>
        <v>380163000.12</v>
      </c>
      <c r="F6" s="191">
        <f>E6-D6</f>
        <v>3184000.1200000048</v>
      </c>
      <c r="G6" s="119">
        <f>E6/D6*100</f>
        <v>100.84460941325644</v>
      </c>
      <c r="H6" s="131"/>
      <c r="I6" s="179"/>
    </row>
    <row r="7" spans="1:10" ht="20.100000000000001" customHeight="1" x14ac:dyDescent="0.15">
      <c r="A7" s="152" t="s">
        <v>25</v>
      </c>
      <c r="B7" s="52"/>
      <c r="C7" s="151"/>
      <c r="D7" s="54">
        <f>D8+D42+D47</f>
        <v>348183080</v>
      </c>
      <c r="E7" s="54">
        <f>E8+E42+E47</f>
        <v>348238130.12</v>
      </c>
      <c r="F7" s="54">
        <f t="shared" ref="F7:F132" si="0">E7-D7</f>
        <v>55050.120000004768</v>
      </c>
      <c r="G7" s="119">
        <f>E7/D7*100</f>
        <v>100.01581068212735</v>
      </c>
      <c r="H7" s="125" t="s">
        <v>25</v>
      </c>
      <c r="I7" s="177"/>
    </row>
    <row r="8" spans="1:10" ht="20.100000000000001" customHeight="1" x14ac:dyDescent="0.15">
      <c r="A8" s="65"/>
      <c r="B8" s="150" t="s">
        <v>26</v>
      </c>
      <c r="C8" s="151"/>
      <c r="D8" s="53">
        <f>D9+D25+D32+D34+D40</f>
        <v>312285480</v>
      </c>
      <c r="E8" s="53">
        <f>E9+E25+E32+E34+E40</f>
        <v>310812530.12</v>
      </c>
      <c r="F8" s="53">
        <f t="shared" si="0"/>
        <v>-1472949.8799999952</v>
      </c>
      <c r="G8" s="120">
        <f t="shared" ref="G8:G9" si="1">E8/D8*100</f>
        <v>99.528332255473416</v>
      </c>
      <c r="H8" s="126" t="s">
        <v>26</v>
      </c>
      <c r="I8" s="177"/>
    </row>
    <row r="9" spans="1:10" ht="20.100000000000001" customHeight="1" x14ac:dyDescent="0.15">
      <c r="A9" s="65"/>
      <c r="B9" s="68"/>
      <c r="C9" s="46" t="s">
        <v>41</v>
      </c>
      <c r="D9" s="75">
        <v>238752820</v>
      </c>
      <c r="E9" s="75">
        <f>I9</f>
        <v>238478530</v>
      </c>
      <c r="F9" s="75">
        <f>E9-D9</f>
        <v>-274290</v>
      </c>
      <c r="G9" s="124">
        <f t="shared" si="1"/>
        <v>99.885115493086118</v>
      </c>
      <c r="H9" s="127" t="s">
        <v>42</v>
      </c>
      <c r="I9" s="181">
        <f>SUM(I10:I24)</f>
        <v>238478530</v>
      </c>
      <c r="J9" s="136">
        <f>E9+E34+I27+I29+E32</f>
        <v>308188450.12</v>
      </c>
    </row>
    <row r="10" spans="1:10" ht="20.100000000000001" customHeight="1" x14ac:dyDescent="0.15">
      <c r="A10" s="65"/>
      <c r="B10" s="68"/>
      <c r="C10" s="68"/>
      <c r="D10" s="76"/>
      <c r="E10" s="76"/>
      <c r="F10" s="192"/>
      <c r="G10" s="117"/>
      <c r="H10" s="114" t="s">
        <v>149</v>
      </c>
      <c r="I10" s="179">
        <f>4047900*7*1</f>
        <v>28335300</v>
      </c>
    </row>
    <row r="11" spans="1:10" ht="20.100000000000001" customHeight="1" x14ac:dyDescent="0.15">
      <c r="A11" s="65"/>
      <c r="B11" s="68"/>
      <c r="C11" s="68"/>
      <c r="D11" s="76"/>
      <c r="E11" s="76"/>
      <c r="F11" s="192"/>
      <c r="G11" s="117"/>
      <c r="H11" s="114" t="s">
        <v>150</v>
      </c>
      <c r="I11" s="179">
        <f>4110800*5*1</f>
        <v>20554000</v>
      </c>
    </row>
    <row r="12" spans="1:10" ht="20.100000000000001" customHeight="1" x14ac:dyDescent="0.15">
      <c r="A12" s="65"/>
      <c r="B12" s="68"/>
      <c r="C12" s="68"/>
      <c r="D12" s="76"/>
      <c r="E12" s="76"/>
      <c r="F12" s="192"/>
      <c r="G12" s="117"/>
      <c r="H12" s="114" t="s">
        <v>167</v>
      </c>
      <c r="I12" s="179">
        <f>2337150*4*1</f>
        <v>9348600</v>
      </c>
    </row>
    <row r="13" spans="1:10" ht="20.100000000000001" customHeight="1" x14ac:dyDescent="0.15">
      <c r="A13" s="65"/>
      <c r="B13" s="68"/>
      <c r="C13" s="68"/>
      <c r="D13" s="76"/>
      <c r="E13" s="76"/>
      <c r="F13" s="192"/>
      <c r="G13" s="117"/>
      <c r="H13" s="114" t="s">
        <v>166</v>
      </c>
      <c r="I13" s="179">
        <f>2574800*8</f>
        <v>20598400</v>
      </c>
    </row>
    <row r="14" spans="1:10" ht="20.100000000000001" customHeight="1" x14ac:dyDescent="0.15">
      <c r="A14" s="65"/>
      <c r="B14" s="68"/>
      <c r="C14" s="68"/>
      <c r="D14" s="76"/>
      <c r="E14" s="76"/>
      <c r="F14" s="192"/>
      <c r="G14" s="117"/>
      <c r="H14" s="114" t="s">
        <v>168</v>
      </c>
      <c r="I14" s="179">
        <f>2198925*12*1</f>
        <v>26387100</v>
      </c>
    </row>
    <row r="15" spans="1:10" ht="20.100000000000001" customHeight="1" x14ac:dyDescent="0.15">
      <c r="A15" s="65"/>
      <c r="B15" s="68"/>
      <c r="C15" s="68"/>
      <c r="D15" s="76"/>
      <c r="E15" s="76"/>
      <c r="F15" s="192"/>
      <c r="G15" s="117"/>
      <c r="H15" s="114" t="s">
        <v>169</v>
      </c>
      <c r="I15" s="179">
        <f>1915350*12*1</f>
        <v>22984200</v>
      </c>
    </row>
    <row r="16" spans="1:10" ht="20.100000000000001" customHeight="1" x14ac:dyDescent="0.15">
      <c r="A16" s="65"/>
      <c r="B16" s="68"/>
      <c r="C16" s="68"/>
      <c r="D16" s="76"/>
      <c r="E16" s="76"/>
      <c r="F16" s="192"/>
      <c r="G16" s="117"/>
      <c r="H16" s="114" t="s">
        <v>170</v>
      </c>
      <c r="I16" s="179">
        <f>1811069*11*1</f>
        <v>19921759</v>
      </c>
    </row>
    <row r="17" spans="1:11" ht="20.100000000000001" customHeight="1" x14ac:dyDescent="0.15">
      <c r="A17" s="65"/>
      <c r="B17" s="68"/>
      <c r="C17" s="68"/>
      <c r="D17" s="76"/>
      <c r="E17" s="76"/>
      <c r="F17" s="192"/>
      <c r="G17" s="117"/>
      <c r="H17" s="114" t="s">
        <v>171</v>
      </c>
      <c r="I17" s="179">
        <f>1886228*7*1</f>
        <v>13203596</v>
      </c>
    </row>
    <row r="18" spans="1:11" ht="20.100000000000001" customHeight="1" x14ac:dyDescent="0.15">
      <c r="A18" s="65"/>
      <c r="B18" s="68"/>
      <c r="C18" s="68"/>
      <c r="D18" s="76"/>
      <c r="E18" s="76"/>
      <c r="F18" s="192"/>
      <c r="G18" s="117"/>
      <c r="H18" s="114" t="s">
        <v>182</v>
      </c>
      <c r="I18" s="179">
        <f>2318447*4*1</f>
        <v>9273788</v>
      </c>
    </row>
    <row r="19" spans="1:11" ht="20.100000000000001" customHeight="1" x14ac:dyDescent="0.15">
      <c r="A19" s="65"/>
      <c r="B19" s="68"/>
      <c r="C19" s="68"/>
      <c r="D19" s="76"/>
      <c r="E19" s="76"/>
      <c r="F19" s="192"/>
      <c r="G19" s="117"/>
      <c r="H19" s="114" t="s">
        <v>183</v>
      </c>
      <c r="I19" s="179">
        <f>939000*1*1</f>
        <v>939000</v>
      </c>
    </row>
    <row r="20" spans="1:11" ht="20.100000000000001" customHeight="1" x14ac:dyDescent="0.15">
      <c r="A20" s="65"/>
      <c r="B20" s="68"/>
      <c r="C20" s="68"/>
      <c r="D20" s="76"/>
      <c r="E20" s="76"/>
      <c r="F20" s="192"/>
      <c r="G20" s="117"/>
      <c r="H20" s="114" t="s">
        <v>184</v>
      </c>
      <c r="I20" s="179">
        <f>3112677*1*1</f>
        <v>3112677</v>
      </c>
    </row>
    <row r="21" spans="1:11" ht="20.100000000000001" customHeight="1" x14ac:dyDescent="0.15">
      <c r="A21" s="65"/>
      <c r="B21" s="68"/>
      <c r="C21" s="68"/>
      <c r="D21" s="76"/>
      <c r="E21" s="76"/>
      <c r="F21" s="192"/>
      <c r="G21" s="117"/>
      <c r="H21" s="114" t="s">
        <v>172</v>
      </c>
      <c r="I21" s="179">
        <f>1973200*7*1</f>
        <v>13812400</v>
      </c>
    </row>
    <row r="22" spans="1:11" ht="20.100000000000001" customHeight="1" x14ac:dyDescent="0.15">
      <c r="A22" s="65"/>
      <c r="B22" s="68"/>
      <c r="C22" s="68"/>
      <c r="D22" s="76"/>
      <c r="E22" s="76"/>
      <c r="F22" s="192"/>
      <c r="G22" s="117"/>
      <c r="H22" s="114" t="s">
        <v>198</v>
      </c>
      <c r="I22" s="179">
        <f>1817542*5*1</f>
        <v>9087710</v>
      </c>
    </row>
    <row r="23" spans="1:11" ht="20.100000000000001" customHeight="1" x14ac:dyDescent="0.15">
      <c r="A23" s="65"/>
      <c r="B23" s="68"/>
      <c r="C23" s="68"/>
      <c r="D23" s="76"/>
      <c r="E23" s="76"/>
      <c r="F23" s="192"/>
      <c r="G23" s="117"/>
      <c r="H23" s="114" t="s">
        <v>152</v>
      </c>
      <c r="I23" s="179">
        <f>1880000*12*1</f>
        <v>22560000</v>
      </c>
      <c r="K23" s="83">
        <f>308188450-K26</f>
        <v>-0.12000000476837158</v>
      </c>
    </row>
    <row r="24" spans="1:11" ht="20.100000000000001" customHeight="1" x14ac:dyDescent="0.15">
      <c r="A24" s="65"/>
      <c r="B24" s="68"/>
      <c r="C24" s="68"/>
      <c r="D24" s="76"/>
      <c r="E24" s="76"/>
      <c r="F24" s="192"/>
      <c r="G24" s="117"/>
      <c r="H24" s="114" t="s">
        <v>151</v>
      </c>
      <c r="I24" s="179">
        <f>1530000*12*1</f>
        <v>18360000</v>
      </c>
    </row>
    <row r="25" spans="1:11" ht="20.100000000000001" customHeight="1" x14ac:dyDescent="0.15">
      <c r="A25" s="65"/>
      <c r="B25" s="68"/>
      <c r="C25" s="46" t="s">
        <v>43</v>
      </c>
      <c r="D25" s="75">
        <v>25394260</v>
      </c>
      <c r="E25" s="75">
        <f>I27+I29+I31</f>
        <v>25394260</v>
      </c>
      <c r="F25" s="75">
        <f>E25-D25</f>
        <v>0</v>
      </c>
      <c r="G25" s="124">
        <f>E25/D25*100</f>
        <v>100</v>
      </c>
      <c r="H25" s="113" t="s">
        <v>43</v>
      </c>
      <c r="I25" s="178"/>
      <c r="K25" s="136"/>
    </row>
    <row r="26" spans="1:11" ht="20.100000000000001" customHeight="1" x14ac:dyDescent="0.15">
      <c r="A26" s="65"/>
      <c r="B26" s="68"/>
      <c r="C26" s="68"/>
      <c r="D26" s="76"/>
      <c r="E26" s="76"/>
      <c r="F26" s="192"/>
      <c r="G26" s="117"/>
      <c r="H26" s="114" t="s">
        <v>192</v>
      </c>
      <c r="I26" s="179"/>
      <c r="K26" s="83">
        <f>E34+E32+I29+I27+I9</f>
        <v>308188450.12</v>
      </c>
    </row>
    <row r="27" spans="1:11" ht="20.100000000000001" customHeight="1" x14ac:dyDescent="0.15">
      <c r="A27" s="184"/>
      <c r="B27" s="74"/>
      <c r="C27" s="74"/>
      <c r="D27" s="161"/>
      <c r="E27" s="161"/>
      <c r="F27" s="193"/>
      <c r="G27" s="186"/>
      <c r="H27" s="214" t="s">
        <v>165</v>
      </c>
      <c r="I27" s="183">
        <f>10585090*2</f>
        <v>21170180</v>
      </c>
      <c r="K27" s="83"/>
    </row>
    <row r="28" spans="1:11" ht="20.100000000000001" customHeight="1" x14ac:dyDescent="0.15">
      <c r="A28" s="206"/>
      <c r="B28" s="208"/>
      <c r="C28" s="208"/>
      <c r="D28" s="209"/>
      <c r="E28" s="209"/>
      <c r="F28" s="210"/>
      <c r="G28" s="211"/>
      <c r="H28" s="212" t="s">
        <v>174</v>
      </c>
      <c r="I28" s="213"/>
    </row>
    <row r="29" spans="1:11" ht="20.100000000000001" customHeight="1" x14ac:dyDescent="0.15">
      <c r="A29" s="65"/>
      <c r="B29" s="68"/>
      <c r="C29" s="68"/>
      <c r="D29" s="76"/>
      <c r="E29" s="76"/>
      <c r="F29" s="192"/>
      <c r="G29" s="117"/>
      <c r="H29" s="114" t="s">
        <v>173</v>
      </c>
      <c r="I29" s="179">
        <f>425000*4</f>
        <v>1700000</v>
      </c>
    </row>
    <row r="30" spans="1:11" ht="20.100000000000001" customHeight="1" x14ac:dyDescent="0.15">
      <c r="A30" s="65"/>
      <c r="B30" s="68"/>
      <c r="C30" s="68"/>
      <c r="D30" s="76"/>
      <c r="E30" s="76"/>
      <c r="F30" s="192"/>
      <c r="G30" s="117"/>
      <c r="H30" s="114" t="s">
        <v>154</v>
      </c>
      <c r="I30" s="179"/>
    </row>
    <row r="31" spans="1:11" ht="20.100000000000001" customHeight="1" x14ac:dyDescent="0.15">
      <c r="A31" s="65"/>
      <c r="B31" s="68"/>
      <c r="C31" s="68"/>
      <c r="D31" s="76"/>
      <c r="E31" s="76"/>
      <c r="F31" s="192"/>
      <c r="G31" s="117"/>
      <c r="H31" s="114" t="s">
        <v>153</v>
      </c>
      <c r="I31" s="179">
        <f>210340*12</f>
        <v>2524080</v>
      </c>
    </row>
    <row r="32" spans="1:11" ht="20.100000000000001" customHeight="1" x14ac:dyDescent="0.15">
      <c r="A32" s="65"/>
      <c r="B32" s="68"/>
      <c r="C32" s="79" t="s">
        <v>71</v>
      </c>
      <c r="D32" s="75">
        <v>22012270</v>
      </c>
      <c r="E32" s="75">
        <f>I33</f>
        <v>21742720</v>
      </c>
      <c r="F32" s="75">
        <f>E32-D32</f>
        <v>-269550</v>
      </c>
      <c r="G32" s="124">
        <f>E32/D32*100</f>
        <v>98.775455689031617</v>
      </c>
      <c r="H32" s="113" t="s">
        <v>71</v>
      </c>
      <c r="I32" s="178"/>
    </row>
    <row r="33" spans="1:11" ht="20.100000000000001" customHeight="1" x14ac:dyDescent="0.15">
      <c r="A33" s="65"/>
      <c r="B33" s="68"/>
      <c r="C33" s="68"/>
      <c r="D33" s="76"/>
      <c r="E33" s="76"/>
      <c r="F33" s="192"/>
      <c r="G33" s="118"/>
      <c r="H33" s="114" t="s">
        <v>225</v>
      </c>
      <c r="I33" s="180">
        <f>10871360*2</f>
        <v>21742720</v>
      </c>
      <c r="K33" s="83"/>
    </row>
    <row r="34" spans="1:11" ht="20.100000000000001" customHeight="1" x14ac:dyDescent="0.15">
      <c r="A34" s="65"/>
      <c r="B34" s="68"/>
      <c r="C34" s="46" t="s">
        <v>44</v>
      </c>
      <c r="D34" s="75">
        <v>26026130</v>
      </c>
      <c r="E34" s="75">
        <f>SUM(I35:I39)</f>
        <v>25097020.120000001</v>
      </c>
      <c r="F34" s="75">
        <f>E34-D34</f>
        <v>-929109.87999999896</v>
      </c>
      <c r="G34" s="124">
        <f>E34/D34*100</f>
        <v>96.430088222874474</v>
      </c>
      <c r="H34" s="113" t="s">
        <v>45</v>
      </c>
      <c r="I34" s="179"/>
      <c r="K34" s="83"/>
    </row>
    <row r="35" spans="1:11" ht="20.100000000000001" customHeight="1" x14ac:dyDescent="0.15">
      <c r="A35" s="65"/>
      <c r="B35" s="68"/>
      <c r="C35" s="68"/>
      <c r="D35" s="76"/>
      <c r="E35" s="76"/>
      <c r="F35" s="192"/>
      <c r="G35" s="117"/>
      <c r="H35" s="114" t="s">
        <v>226</v>
      </c>
      <c r="I35" s="179">
        <f>11296706</f>
        <v>11296706</v>
      </c>
      <c r="K35" s="83"/>
    </row>
    <row r="36" spans="1:11" ht="20.100000000000001" customHeight="1" x14ac:dyDescent="0.15">
      <c r="A36" s="65"/>
      <c r="B36" s="68"/>
      <c r="C36" s="68"/>
      <c r="D36" s="76"/>
      <c r="E36" s="76"/>
      <c r="F36" s="192"/>
      <c r="G36" s="117"/>
      <c r="H36" s="128" t="s">
        <v>227</v>
      </c>
      <c r="I36" s="179">
        <f>8610600</f>
        <v>8610600</v>
      </c>
      <c r="K36" s="83"/>
    </row>
    <row r="37" spans="1:11" ht="20.100000000000001" customHeight="1" x14ac:dyDescent="0.15">
      <c r="A37" s="65"/>
      <c r="B37" s="68"/>
      <c r="C37" s="68"/>
      <c r="D37" s="76"/>
      <c r="E37" s="76"/>
      <c r="F37" s="192"/>
      <c r="G37" s="117"/>
      <c r="H37" s="114" t="s">
        <v>228</v>
      </c>
      <c r="I37" s="179">
        <f>I36*11.52%</f>
        <v>991941.12</v>
      </c>
      <c r="K37" s="83"/>
    </row>
    <row r="38" spans="1:11" ht="20.100000000000001" customHeight="1" x14ac:dyDescent="0.15">
      <c r="A38" s="65"/>
      <c r="B38" s="68"/>
      <c r="C38" s="68"/>
      <c r="D38" s="76"/>
      <c r="E38" s="76"/>
      <c r="F38" s="192"/>
      <c r="G38" s="117"/>
      <c r="H38" s="114" t="s">
        <v>229</v>
      </c>
      <c r="I38" s="179">
        <f>2600799</f>
        <v>2600799</v>
      </c>
    </row>
    <row r="39" spans="1:11" ht="20.100000000000001" customHeight="1" x14ac:dyDescent="0.15">
      <c r="A39" s="65"/>
      <c r="B39" s="68"/>
      <c r="C39" s="68"/>
      <c r="D39" s="76"/>
      <c r="E39" s="76"/>
      <c r="F39" s="192"/>
      <c r="G39" s="117"/>
      <c r="H39" s="114" t="s">
        <v>230</v>
      </c>
      <c r="I39" s="180">
        <f>1596974</f>
        <v>1596974</v>
      </c>
    </row>
    <row r="40" spans="1:11" ht="20.100000000000001" customHeight="1" x14ac:dyDescent="0.15">
      <c r="A40" s="65"/>
      <c r="B40" s="68"/>
      <c r="C40" s="46" t="s">
        <v>46</v>
      </c>
      <c r="D40" s="75">
        <v>100000</v>
      </c>
      <c r="E40" s="75">
        <f>I41</f>
        <v>100000</v>
      </c>
      <c r="F40" s="75">
        <f>E40-D40</f>
        <v>0</v>
      </c>
      <c r="G40" s="124">
        <f>E40/D40*100</f>
        <v>100</v>
      </c>
      <c r="H40" s="113" t="s">
        <v>46</v>
      </c>
      <c r="I40" s="179"/>
    </row>
    <row r="41" spans="1:11" ht="20.100000000000001" customHeight="1" x14ac:dyDescent="0.15">
      <c r="A41" s="65"/>
      <c r="B41" s="69"/>
      <c r="C41" s="69"/>
      <c r="D41" s="77"/>
      <c r="E41" s="77"/>
      <c r="F41" s="194"/>
      <c r="G41" s="118"/>
      <c r="H41" s="128" t="s">
        <v>175</v>
      </c>
      <c r="I41" s="180">
        <f>100000*1</f>
        <v>100000</v>
      </c>
    </row>
    <row r="42" spans="1:11" ht="20.100000000000001" customHeight="1" x14ac:dyDescent="0.15">
      <c r="A42" s="66"/>
      <c r="B42" s="150" t="s">
        <v>47</v>
      </c>
      <c r="C42" s="151"/>
      <c r="D42" s="53">
        <f>D43+D45</f>
        <v>400000</v>
      </c>
      <c r="E42" s="53">
        <f>E43+E45</f>
        <v>200000</v>
      </c>
      <c r="F42" s="53">
        <f t="shared" ref="F42:F45" si="2">E42-D42</f>
        <v>-200000</v>
      </c>
      <c r="G42" s="120">
        <f>E42/D42*100</f>
        <v>50</v>
      </c>
      <c r="H42" s="112" t="s">
        <v>47</v>
      </c>
      <c r="I42" s="177"/>
    </row>
    <row r="43" spans="1:11" ht="20.100000000000001" customHeight="1" x14ac:dyDescent="0.15">
      <c r="A43" s="65"/>
      <c r="B43" s="68"/>
      <c r="C43" s="62" t="s">
        <v>48</v>
      </c>
      <c r="D43" s="75">
        <v>300000</v>
      </c>
      <c r="E43" s="75">
        <f>I44</f>
        <v>100000</v>
      </c>
      <c r="F43" s="75">
        <f t="shared" si="2"/>
        <v>-200000</v>
      </c>
      <c r="G43" s="139">
        <f t="shared" ref="G43:G50" si="3">E43/D43*100</f>
        <v>33.333333333333329</v>
      </c>
      <c r="H43" s="113" t="s">
        <v>48</v>
      </c>
      <c r="I43" s="178"/>
    </row>
    <row r="44" spans="1:11" ht="20.100000000000001" customHeight="1" x14ac:dyDescent="0.15">
      <c r="A44" s="65"/>
      <c r="B44" s="68"/>
      <c r="C44" s="69"/>
      <c r="D44" s="77"/>
      <c r="E44" s="77"/>
      <c r="F44" s="77"/>
      <c r="G44" s="120"/>
      <c r="H44" s="111" t="s">
        <v>199</v>
      </c>
      <c r="I44" s="180">
        <f>100000*1</f>
        <v>100000</v>
      </c>
    </row>
    <row r="45" spans="1:11" ht="20.100000000000001" customHeight="1" x14ac:dyDescent="0.15">
      <c r="A45" s="65"/>
      <c r="B45" s="68"/>
      <c r="C45" s="62" t="s">
        <v>49</v>
      </c>
      <c r="D45" s="75">
        <v>100000</v>
      </c>
      <c r="E45" s="75">
        <f>I46</f>
        <v>100000</v>
      </c>
      <c r="F45" s="75">
        <f t="shared" si="2"/>
        <v>0</v>
      </c>
      <c r="G45" s="139">
        <f t="shared" si="3"/>
        <v>100</v>
      </c>
      <c r="H45" s="113" t="s">
        <v>49</v>
      </c>
      <c r="I45" s="178"/>
    </row>
    <row r="46" spans="1:11" ht="20.100000000000001" customHeight="1" x14ac:dyDescent="0.15">
      <c r="A46" s="65"/>
      <c r="B46" s="80"/>
      <c r="C46" s="69"/>
      <c r="D46" s="77"/>
      <c r="E46" s="77"/>
      <c r="F46" s="77"/>
      <c r="G46" s="120"/>
      <c r="H46" s="111" t="s">
        <v>176</v>
      </c>
      <c r="I46" s="180">
        <f>50000*2</f>
        <v>100000</v>
      </c>
    </row>
    <row r="47" spans="1:11" ht="20.100000000000001" customHeight="1" x14ac:dyDescent="0.15">
      <c r="A47" s="66"/>
      <c r="B47" s="150" t="s">
        <v>50</v>
      </c>
      <c r="C47" s="151"/>
      <c r="D47" s="53">
        <f>D48+D50+D56+D59+D65+D68</f>
        <v>35497600</v>
      </c>
      <c r="E47" s="53">
        <f>E48+E50+E56+E59+E65+E68</f>
        <v>37225600</v>
      </c>
      <c r="F47" s="53">
        <f t="shared" ref="F47:F50" si="4">E47-D47</f>
        <v>1728000</v>
      </c>
      <c r="G47" s="120">
        <f t="shared" si="3"/>
        <v>104.8679347336158</v>
      </c>
      <c r="H47" s="112" t="s">
        <v>50</v>
      </c>
      <c r="I47" s="177"/>
    </row>
    <row r="48" spans="1:11" ht="20.100000000000001" customHeight="1" x14ac:dyDescent="0.15">
      <c r="A48" s="65"/>
      <c r="B48" s="68"/>
      <c r="C48" s="46" t="s">
        <v>51</v>
      </c>
      <c r="D48" s="75">
        <v>200000</v>
      </c>
      <c r="E48" s="75">
        <f>I49</f>
        <v>40000</v>
      </c>
      <c r="F48" s="75">
        <f t="shared" si="4"/>
        <v>-160000</v>
      </c>
      <c r="G48" s="139">
        <f t="shared" si="3"/>
        <v>20</v>
      </c>
      <c r="H48" s="113" t="s">
        <v>51</v>
      </c>
      <c r="I48" s="178"/>
    </row>
    <row r="49" spans="1:9" ht="20.100000000000001" customHeight="1" x14ac:dyDescent="0.15">
      <c r="A49" s="65"/>
      <c r="B49" s="73"/>
      <c r="C49" s="68"/>
      <c r="D49" s="76"/>
      <c r="E49" s="76"/>
      <c r="F49" s="76"/>
      <c r="G49" s="139"/>
      <c r="H49" s="114" t="s">
        <v>200</v>
      </c>
      <c r="I49" s="179">
        <f>20000*2</f>
        <v>40000</v>
      </c>
    </row>
    <row r="50" spans="1:9" ht="20.100000000000001" customHeight="1" x14ac:dyDescent="0.15">
      <c r="A50" s="65"/>
      <c r="B50" s="68"/>
      <c r="C50" s="46" t="s">
        <v>52</v>
      </c>
      <c r="D50" s="75">
        <v>14341600</v>
      </c>
      <c r="E50" s="75">
        <f>SUM(I51:I55)</f>
        <v>14841600</v>
      </c>
      <c r="F50" s="75">
        <f t="shared" si="4"/>
        <v>500000</v>
      </c>
      <c r="G50" s="124">
        <f t="shared" si="3"/>
        <v>103.48636135438166</v>
      </c>
      <c r="H50" s="113" t="s">
        <v>52</v>
      </c>
      <c r="I50" s="178"/>
    </row>
    <row r="51" spans="1:9" ht="20.100000000000001" customHeight="1" x14ac:dyDescent="0.15">
      <c r="A51" s="184"/>
      <c r="B51" s="74"/>
      <c r="C51" s="74"/>
      <c r="D51" s="161"/>
      <c r="E51" s="161"/>
      <c r="F51" s="161"/>
      <c r="G51" s="186"/>
      <c r="H51" s="162" t="s">
        <v>216</v>
      </c>
      <c r="I51" s="183">
        <f>500000*8</f>
        <v>4000000</v>
      </c>
    </row>
    <row r="52" spans="1:9" ht="20.100000000000001" customHeight="1" x14ac:dyDescent="0.15">
      <c r="A52" s="206"/>
      <c r="B52" s="207"/>
      <c r="C52" s="208"/>
      <c r="D52" s="209"/>
      <c r="E52" s="209"/>
      <c r="F52" s="209"/>
      <c r="G52" s="211"/>
      <c r="H52" s="212" t="s">
        <v>177</v>
      </c>
      <c r="I52" s="213">
        <f>184800*12</f>
        <v>2217600</v>
      </c>
    </row>
    <row r="53" spans="1:9" ht="20.100000000000001" customHeight="1" x14ac:dyDescent="0.15">
      <c r="A53" s="65"/>
      <c r="B53" s="73"/>
      <c r="C53" s="68"/>
      <c r="D53" s="76"/>
      <c r="E53" s="76"/>
      <c r="F53" s="76"/>
      <c r="G53" s="117"/>
      <c r="H53" s="114" t="s">
        <v>115</v>
      </c>
      <c r="I53" s="179">
        <f>300000*4</f>
        <v>1200000</v>
      </c>
    </row>
    <row r="54" spans="1:9" ht="20.100000000000001" customHeight="1" x14ac:dyDescent="0.15">
      <c r="A54" s="65"/>
      <c r="B54" s="73"/>
      <c r="C54" s="68"/>
      <c r="D54" s="76"/>
      <c r="E54" s="76"/>
      <c r="F54" s="76"/>
      <c r="G54" s="117"/>
      <c r="H54" s="114" t="s">
        <v>201</v>
      </c>
      <c r="I54" s="179">
        <f>500000*13</f>
        <v>6500000</v>
      </c>
    </row>
    <row r="55" spans="1:9" ht="20.100000000000001" customHeight="1" x14ac:dyDescent="0.15">
      <c r="A55" s="65"/>
      <c r="B55" s="73"/>
      <c r="C55" s="68"/>
      <c r="D55" s="76"/>
      <c r="E55" s="76"/>
      <c r="F55" s="76"/>
      <c r="G55" s="117"/>
      <c r="H55" s="114" t="s">
        <v>72</v>
      </c>
      <c r="I55" s="179">
        <f>77000*12</f>
        <v>924000</v>
      </c>
    </row>
    <row r="56" spans="1:9" ht="20.100000000000001" customHeight="1" x14ac:dyDescent="0.15">
      <c r="A56" s="65"/>
      <c r="B56" s="68"/>
      <c r="C56" s="46" t="s">
        <v>53</v>
      </c>
      <c r="D56" s="75">
        <v>4440000</v>
      </c>
      <c r="E56" s="75">
        <f>I57+I58</f>
        <v>4440000</v>
      </c>
      <c r="F56" s="75">
        <f t="shared" ref="F56" si="5">E56-D56</f>
        <v>0</v>
      </c>
      <c r="G56" s="124">
        <f t="shared" ref="G56" si="6">E56/D56*100</f>
        <v>100</v>
      </c>
      <c r="H56" s="113" t="s">
        <v>53</v>
      </c>
      <c r="I56" s="178"/>
    </row>
    <row r="57" spans="1:9" ht="20.100000000000001" customHeight="1" x14ac:dyDescent="0.15">
      <c r="A57" s="65"/>
      <c r="B57" s="73"/>
      <c r="C57" s="68"/>
      <c r="D57" s="76"/>
      <c r="E57" s="76"/>
      <c r="F57" s="76"/>
      <c r="G57" s="117"/>
      <c r="H57" s="114" t="s">
        <v>131</v>
      </c>
      <c r="I57" s="179">
        <f>70000*12</f>
        <v>840000</v>
      </c>
    </row>
    <row r="58" spans="1:9" ht="20.100000000000001" customHeight="1" x14ac:dyDescent="0.15">
      <c r="A58" s="65"/>
      <c r="B58" s="73"/>
      <c r="C58" s="68"/>
      <c r="D58" s="76"/>
      <c r="E58" s="76"/>
      <c r="F58" s="76"/>
      <c r="G58" s="117"/>
      <c r="H58" s="114" t="s">
        <v>178</v>
      </c>
      <c r="I58" s="180">
        <f>300000*12</f>
        <v>3600000</v>
      </c>
    </row>
    <row r="59" spans="1:9" ht="20.100000000000001" customHeight="1" x14ac:dyDescent="0.15">
      <c r="A59" s="65"/>
      <c r="B59" s="73"/>
      <c r="C59" s="46" t="s">
        <v>54</v>
      </c>
      <c r="D59" s="75">
        <v>5136000</v>
      </c>
      <c r="E59" s="75">
        <f>I60+I61+I62+I63+I64</f>
        <v>5136000</v>
      </c>
      <c r="F59" s="75">
        <f t="shared" ref="F59" si="7">E59-D59</f>
        <v>0</v>
      </c>
      <c r="G59" s="124">
        <f t="shared" ref="G59" si="8">E59/D59*100</f>
        <v>100</v>
      </c>
      <c r="H59" s="113" t="s">
        <v>54</v>
      </c>
      <c r="I59" s="179"/>
    </row>
    <row r="60" spans="1:9" ht="20.100000000000001" customHeight="1" x14ac:dyDescent="0.15">
      <c r="A60" s="65"/>
      <c r="B60" s="73"/>
      <c r="C60" s="68"/>
      <c r="D60" s="76"/>
      <c r="E60" s="76"/>
      <c r="F60" s="76"/>
      <c r="G60" s="117"/>
      <c r="H60" s="114" t="s">
        <v>205</v>
      </c>
      <c r="I60" s="179">
        <f>50000*3</f>
        <v>150000</v>
      </c>
    </row>
    <row r="61" spans="1:9" ht="20.100000000000001" customHeight="1" x14ac:dyDescent="0.15">
      <c r="A61" s="65"/>
      <c r="B61" s="73"/>
      <c r="C61" s="68"/>
      <c r="D61" s="76"/>
      <c r="E61" s="76"/>
      <c r="F61" s="76"/>
      <c r="G61" s="117"/>
      <c r="H61" s="114" t="s">
        <v>212</v>
      </c>
      <c r="I61" s="179">
        <f>550000*1</f>
        <v>550000</v>
      </c>
    </row>
    <row r="62" spans="1:9" ht="20.100000000000001" customHeight="1" x14ac:dyDescent="0.15">
      <c r="A62" s="65"/>
      <c r="B62" s="73"/>
      <c r="C62" s="68"/>
      <c r="D62" s="76"/>
      <c r="E62" s="76"/>
      <c r="F62" s="76"/>
      <c r="G62" s="117"/>
      <c r="H62" s="114" t="s">
        <v>155</v>
      </c>
      <c r="I62" s="179">
        <f>280000*5</f>
        <v>1400000</v>
      </c>
    </row>
    <row r="63" spans="1:9" ht="20.100000000000001" customHeight="1" x14ac:dyDescent="0.15">
      <c r="A63" s="65"/>
      <c r="B63" s="73"/>
      <c r="C63" s="68"/>
      <c r="D63" s="76"/>
      <c r="E63" s="76"/>
      <c r="F63" s="76"/>
      <c r="G63" s="117"/>
      <c r="H63" s="114" t="s">
        <v>130</v>
      </c>
      <c r="I63" s="179">
        <f>900000*3</f>
        <v>2700000</v>
      </c>
    </row>
    <row r="64" spans="1:9" ht="20.100000000000001" customHeight="1" x14ac:dyDescent="0.15">
      <c r="A64" s="65"/>
      <c r="B64" s="73"/>
      <c r="C64" s="69"/>
      <c r="D64" s="77"/>
      <c r="E64" s="77"/>
      <c r="F64" s="77"/>
      <c r="G64" s="118"/>
      <c r="H64" s="111" t="s">
        <v>125</v>
      </c>
      <c r="I64" s="180">
        <f>112000*3</f>
        <v>336000</v>
      </c>
    </row>
    <row r="65" spans="1:9" ht="20.100000000000001" customHeight="1" x14ac:dyDescent="0.15">
      <c r="A65" s="65"/>
      <c r="B65" s="73"/>
      <c r="C65" s="46" t="s">
        <v>55</v>
      </c>
      <c r="D65" s="75">
        <v>7200000</v>
      </c>
      <c r="E65" s="75">
        <f>I66+I67</f>
        <v>8400000</v>
      </c>
      <c r="F65" s="75">
        <f t="shared" ref="F65" si="9">E65-D65</f>
        <v>1200000</v>
      </c>
      <c r="G65" s="124">
        <f t="shared" ref="G65" si="10">E65/D65*100</f>
        <v>116.66666666666667</v>
      </c>
      <c r="H65" s="113" t="s">
        <v>55</v>
      </c>
      <c r="I65" s="179"/>
    </row>
    <row r="66" spans="1:9" ht="20.100000000000001" customHeight="1" x14ac:dyDescent="0.15">
      <c r="A66" s="65"/>
      <c r="B66" s="73"/>
      <c r="C66" s="68"/>
      <c r="D66" s="76"/>
      <c r="E66" s="76"/>
      <c r="F66" s="76"/>
      <c r="G66" s="117"/>
      <c r="H66" s="114" t="s">
        <v>204</v>
      </c>
      <c r="I66" s="179">
        <f>500000*12</f>
        <v>6000000</v>
      </c>
    </row>
    <row r="67" spans="1:9" ht="20.100000000000001" customHeight="1" x14ac:dyDescent="0.15">
      <c r="A67" s="65"/>
      <c r="B67" s="73"/>
      <c r="C67" s="68"/>
      <c r="D67" s="76"/>
      <c r="E67" s="76"/>
      <c r="F67" s="76"/>
      <c r="G67" s="118"/>
      <c r="H67" s="114" t="s">
        <v>203</v>
      </c>
      <c r="I67" s="180">
        <f>200000*4*3</f>
        <v>2400000</v>
      </c>
    </row>
    <row r="68" spans="1:9" ht="20.100000000000001" customHeight="1" x14ac:dyDescent="0.15">
      <c r="A68" s="65"/>
      <c r="B68" s="73"/>
      <c r="C68" s="46" t="s">
        <v>56</v>
      </c>
      <c r="D68" s="75">
        <v>4180000</v>
      </c>
      <c r="E68" s="75">
        <f>I69+I70+I71</f>
        <v>4368000</v>
      </c>
      <c r="F68" s="75">
        <f t="shared" ref="F68" si="11">E68-D68</f>
        <v>188000</v>
      </c>
      <c r="G68" s="124">
        <f t="shared" ref="G68" si="12">E68/D68*100</f>
        <v>104.49760765550241</v>
      </c>
      <c r="H68" s="113" t="s">
        <v>56</v>
      </c>
      <c r="I68" s="179"/>
    </row>
    <row r="69" spans="1:9" ht="20.100000000000001" customHeight="1" x14ac:dyDescent="0.15">
      <c r="A69" s="65"/>
      <c r="B69" s="73"/>
      <c r="C69" s="68"/>
      <c r="D69" s="76"/>
      <c r="E69" s="76"/>
      <c r="F69" s="76"/>
      <c r="G69" s="117"/>
      <c r="H69" s="114" t="s">
        <v>206</v>
      </c>
      <c r="I69" s="179">
        <f>290000*12</f>
        <v>3480000</v>
      </c>
    </row>
    <row r="70" spans="1:9" ht="20.100000000000001" customHeight="1" x14ac:dyDescent="0.15">
      <c r="A70" s="65"/>
      <c r="B70" s="73"/>
      <c r="C70" s="68"/>
      <c r="D70" s="76"/>
      <c r="E70" s="76"/>
      <c r="F70" s="76"/>
      <c r="G70" s="117"/>
      <c r="H70" s="114" t="s">
        <v>179</v>
      </c>
      <c r="I70" s="179">
        <f>36000*8</f>
        <v>288000</v>
      </c>
    </row>
    <row r="71" spans="1:9" ht="20.100000000000001" customHeight="1" x14ac:dyDescent="0.15">
      <c r="A71" s="65"/>
      <c r="B71" s="80"/>
      <c r="C71" s="69"/>
      <c r="D71" s="76"/>
      <c r="E71" s="76"/>
      <c r="F71" s="76"/>
      <c r="G71" s="117"/>
      <c r="H71" s="114" t="s">
        <v>217</v>
      </c>
      <c r="I71" s="180">
        <f>150000*4</f>
        <v>600000</v>
      </c>
    </row>
    <row r="72" spans="1:9" ht="20.100000000000001" customHeight="1" x14ac:dyDescent="0.15">
      <c r="A72" s="152" t="s">
        <v>27</v>
      </c>
      <c r="B72" s="153"/>
      <c r="C72" s="151"/>
      <c r="D72" s="54">
        <f>D73</f>
        <v>5633826</v>
      </c>
      <c r="E72" s="54">
        <f>E73</f>
        <v>6283826</v>
      </c>
      <c r="F72" s="54">
        <f t="shared" si="0"/>
        <v>650000</v>
      </c>
      <c r="G72" s="121">
        <f t="shared" ref="G72:G90" si="13">E72/D72*100</f>
        <v>111.53745252338287</v>
      </c>
      <c r="H72" s="112" t="s">
        <v>27</v>
      </c>
      <c r="I72" s="182"/>
    </row>
    <row r="73" spans="1:9" ht="20.100000000000001" customHeight="1" x14ac:dyDescent="0.15">
      <c r="A73" s="240"/>
      <c r="B73" s="150" t="s">
        <v>28</v>
      </c>
      <c r="C73" s="151"/>
      <c r="D73" s="53">
        <f>D74+D78</f>
        <v>5633826</v>
      </c>
      <c r="E73" s="53">
        <f>E74+E78</f>
        <v>6283826</v>
      </c>
      <c r="F73" s="53">
        <f t="shared" si="0"/>
        <v>650000</v>
      </c>
      <c r="G73" s="120">
        <f t="shared" si="13"/>
        <v>111.53745252338287</v>
      </c>
      <c r="H73" s="112" t="s">
        <v>28</v>
      </c>
      <c r="I73" s="177"/>
    </row>
    <row r="74" spans="1:9" ht="20.100000000000001" customHeight="1" x14ac:dyDescent="0.15">
      <c r="A74" s="240"/>
      <c r="B74" s="154"/>
      <c r="C74" s="46" t="s">
        <v>29</v>
      </c>
      <c r="D74" s="75">
        <v>5033826</v>
      </c>
      <c r="E74" s="75">
        <f>I76+I77+I75</f>
        <v>5433826</v>
      </c>
      <c r="F74" s="75">
        <f t="shared" si="0"/>
        <v>400000</v>
      </c>
      <c r="G74" s="139">
        <f t="shared" si="13"/>
        <v>107.94624208305967</v>
      </c>
      <c r="H74" s="129" t="s">
        <v>29</v>
      </c>
      <c r="I74" s="178"/>
    </row>
    <row r="75" spans="1:9" ht="20.100000000000001" customHeight="1" x14ac:dyDescent="0.15">
      <c r="A75" s="64"/>
      <c r="B75" s="143"/>
      <c r="C75" s="68"/>
      <c r="D75" s="76"/>
      <c r="E75" s="76"/>
      <c r="F75" s="76"/>
      <c r="G75" s="139"/>
      <c r="H75" s="158" t="s">
        <v>181</v>
      </c>
      <c r="I75" s="179">
        <f>1673830*1</f>
        <v>1673830</v>
      </c>
    </row>
    <row r="76" spans="1:9" ht="20.100000000000001" customHeight="1" x14ac:dyDescent="0.15">
      <c r="A76" s="187"/>
      <c r="B76" s="188"/>
      <c r="C76" s="74"/>
      <c r="D76" s="161"/>
      <c r="E76" s="161"/>
      <c r="F76" s="161"/>
      <c r="G76" s="123"/>
      <c r="H76" s="189" t="s">
        <v>207</v>
      </c>
      <c r="I76" s="183">
        <f>300000*3</f>
        <v>900000</v>
      </c>
    </row>
    <row r="77" spans="1:9" ht="20.100000000000001" customHeight="1" x14ac:dyDescent="0.15">
      <c r="A77" s="64"/>
      <c r="B77" s="143"/>
      <c r="C77" s="68"/>
      <c r="D77" s="76"/>
      <c r="E77" s="76"/>
      <c r="F77" s="76"/>
      <c r="G77" s="120"/>
      <c r="H77" s="158" t="s">
        <v>180</v>
      </c>
      <c r="I77" s="180">
        <f>238333*12</f>
        <v>2859996</v>
      </c>
    </row>
    <row r="78" spans="1:9" ht="20.100000000000001" customHeight="1" x14ac:dyDescent="0.15">
      <c r="A78" s="64"/>
      <c r="B78" s="143"/>
      <c r="C78" s="46" t="s">
        <v>99</v>
      </c>
      <c r="D78" s="75">
        <v>600000</v>
      </c>
      <c r="E78" s="75">
        <f>I79+I80</f>
        <v>850000</v>
      </c>
      <c r="F78" s="75">
        <f t="shared" si="0"/>
        <v>250000</v>
      </c>
      <c r="G78" s="139">
        <f t="shared" si="13"/>
        <v>141.66666666666669</v>
      </c>
      <c r="H78" s="129" t="s">
        <v>99</v>
      </c>
      <c r="I78" s="178"/>
    </row>
    <row r="79" spans="1:9" ht="20.100000000000001" customHeight="1" x14ac:dyDescent="0.15">
      <c r="A79" s="64"/>
      <c r="B79" s="154"/>
      <c r="C79" s="68"/>
      <c r="D79" s="76"/>
      <c r="E79" s="76"/>
      <c r="F79" s="76"/>
      <c r="G79" s="139"/>
      <c r="H79" s="158" t="s">
        <v>202</v>
      </c>
      <c r="I79" s="179">
        <f>550000*1</f>
        <v>550000</v>
      </c>
    </row>
    <row r="80" spans="1:9" ht="20.100000000000001" customHeight="1" x14ac:dyDescent="0.15">
      <c r="A80" s="64"/>
      <c r="B80" s="63"/>
      <c r="C80" s="69"/>
      <c r="D80" s="76"/>
      <c r="E80" s="76"/>
      <c r="F80" s="76"/>
      <c r="G80" s="120"/>
      <c r="H80" s="158" t="s">
        <v>218</v>
      </c>
      <c r="I80" s="180">
        <f>300000*1</f>
        <v>300000</v>
      </c>
    </row>
    <row r="81" spans="1:9" ht="20.100000000000001" customHeight="1" x14ac:dyDescent="0.15">
      <c r="A81" s="152" t="s">
        <v>57</v>
      </c>
      <c r="B81" s="52"/>
      <c r="C81" s="151"/>
      <c r="D81" s="54">
        <f>D82+D87+D113</f>
        <v>23061000</v>
      </c>
      <c r="E81" s="54">
        <f>E82+E87+E113</f>
        <v>25387000</v>
      </c>
      <c r="F81" s="54">
        <f t="shared" ref="F81:F82" si="14">E81-D81</f>
        <v>2326000</v>
      </c>
      <c r="G81" s="121">
        <f t="shared" si="13"/>
        <v>110.08629287541739</v>
      </c>
      <c r="H81" s="112" t="s">
        <v>57</v>
      </c>
      <c r="I81" s="177"/>
    </row>
    <row r="82" spans="1:9" ht="20.100000000000001" customHeight="1" x14ac:dyDescent="0.15">
      <c r="A82" s="65"/>
      <c r="B82" s="150" t="s">
        <v>50</v>
      </c>
      <c r="C82" s="151"/>
      <c r="D82" s="53">
        <f>D83+D85</f>
        <v>13352000</v>
      </c>
      <c r="E82" s="53">
        <f>E83+E85</f>
        <v>14858000</v>
      </c>
      <c r="F82" s="53">
        <f t="shared" si="14"/>
        <v>1506000</v>
      </c>
      <c r="G82" s="120">
        <f t="shared" si="13"/>
        <v>111.27920910724984</v>
      </c>
      <c r="H82" s="112" t="s">
        <v>50</v>
      </c>
      <c r="I82" s="177"/>
    </row>
    <row r="83" spans="1:9" ht="20.100000000000001" customHeight="1" x14ac:dyDescent="0.15">
      <c r="A83" s="65"/>
      <c r="B83" s="68"/>
      <c r="C83" s="46" t="s">
        <v>58</v>
      </c>
      <c r="D83" s="75">
        <v>13052000</v>
      </c>
      <c r="E83" s="75">
        <f>I84</f>
        <v>14558000</v>
      </c>
      <c r="F83" s="75">
        <f>E83-D83</f>
        <v>1506000</v>
      </c>
      <c r="G83" s="124">
        <f t="shared" si="13"/>
        <v>111.53846153846155</v>
      </c>
      <c r="H83" s="114" t="s">
        <v>58</v>
      </c>
      <c r="I83" s="179"/>
    </row>
    <row r="84" spans="1:9" ht="20.100000000000001" customHeight="1" x14ac:dyDescent="0.15">
      <c r="A84" s="65"/>
      <c r="B84" s="68"/>
      <c r="C84" s="69"/>
      <c r="D84" s="77"/>
      <c r="E84" s="77"/>
      <c r="F84" s="77"/>
      <c r="G84" s="157"/>
      <c r="H84" s="111" t="s">
        <v>219</v>
      </c>
      <c r="I84" s="180">
        <f>2000*29*251</f>
        <v>14558000</v>
      </c>
    </row>
    <row r="85" spans="1:9" ht="20.100000000000001" customHeight="1" x14ac:dyDescent="0.15">
      <c r="A85" s="65"/>
      <c r="B85" s="68"/>
      <c r="C85" s="46" t="s">
        <v>59</v>
      </c>
      <c r="D85" s="75">
        <v>300000</v>
      </c>
      <c r="E85" s="75">
        <f>I86</f>
        <v>300000</v>
      </c>
      <c r="F85" s="75">
        <f>E85-D85</f>
        <v>0</v>
      </c>
      <c r="G85" s="124">
        <f t="shared" si="13"/>
        <v>100</v>
      </c>
      <c r="H85" s="113" t="s">
        <v>59</v>
      </c>
      <c r="I85" s="178"/>
    </row>
    <row r="86" spans="1:9" ht="20.100000000000001" customHeight="1" x14ac:dyDescent="0.15">
      <c r="A86" s="65"/>
      <c r="B86" s="73"/>
      <c r="C86" s="69"/>
      <c r="D86" s="77"/>
      <c r="E86" s="77"/>
      <c r="F86" s="77"/>
      <c r="G86" s="120"/>
      <c r="H86" s="111" t="s">
        <v>156</v>
      </c>
      <c r="I86" s="180">
        <f>150000*2</f>
        <v>300000</v>
      </c>
    </row>
    <row r="87" spans="1:9" ht="19.5" customHeight="1" x14ac:dyDescent="0.15">
      <c r="A87" s="66"/>
      <c r="B87" s="150" t="s">
        <v>57</v>
      </c>
      <c r="C87" s="151"/>
      <c r="D87" s="53">
        <f>D88+D90+D99+D101+D104+D111</f>
        <v>7130000</v>
      </c>
      <c r="E87" s="53">
        <f>E88+E90+E99+E101+E104+E111</f>
        <v>6730000</v>
      </c>
      <c r="F87" s="53">
        <f t="shared" ref="F87" si="15">E87-D87</f>
        <v>-400000</v>
      </c>
      <c r="G87" s="159">
        <f t="shared" si="13"/>
        <v>94.389901823281903</v>
      </c>
      <c r="H87" s="112" t="s">
        <v>57</v>
      </c>
      <c r="I87" s="177"/>
    </row>
    <row r="88" spans="1:9" ht="19.5" customHeight="1" x14ac:dyDescent="0.15">
      <c r="A88" s="65"/>
      <c r="B88" s="140"/>
      <c r="C88" s="46" t="s">
        <v>107</v>
      </c>
      <c r="D88" s="75">
        <v>400000</v>
      </c>
      <c r="E88" s="75">
        <f>I89</f>
        <v>400000</v>
      </c>
      <c r="F88" s="75">
        <f>E88-D88</f>
        <v>0</v>
      </c>
      <c r="G88" s="133">
        <f t="shared" si="13"/>
        <v>100</v>
      </c>
      <c r="H88" s="113" t="s">
        <v>107</v>
      </c>
      <c r="I88" s="178"/>
    </row>
    <row r="89" spans="1:9" ht="19.5" customHeight="1" x14ac:dyDescent="0.15">
      <c r="A89" s="65"/>
      <c r="B89" s="73"/>
      <c r="C89" s="69"/>
      <c r="D89" s="77"/>
      <c r="E89" s="77"/>
      <c r="F89" s="77"/>
      <c r="G89" s="120"/>
      <c r="H89" s="111" t="s">
        <v>160</v>
      </c>
      <c r="I89" s="180">
        <f>200000*2</f>
        <v>400000</v>
      </c>
    </row>
    <row r="90" spans="1:9" ht="20.100000000000001" customHeight="1" x14ac:dyDescent="0.15">
      <c r="A90" s="65"/>
      <c r="B90" s="68"/>
      <c r="C90" s="68" t="s">
        <v>102</v>
      </c>
      <c r="D90" s="76">
        <v>2800000</v>
      </c>
      <c r="E90" s="76">
        <f>I91+I92+I93+I94+I95+I96+I97+I98</f>
        <v>2800000</v>
      </c>
      <c r="F90" s="76">
        <f t="shared" ref="F90" si="16">E90-D90</f>
        <v>0</v>
      </c>
      <c r="G90" s="133">
        <f t="shared" si="13"/>
        <v>100</v>
      </c>
      <c r="H90" s="114" t="s">
        <v>102</v>
      </c>
      <c r="I90" s="179"/>
    </row>
    <row r="91" spans="1:9" ht="20.100000000000001" customHeight="1" x14ac:dyDescent="0.15">
      <c r="A91" s="65"/>
      <c r="B91" s="68"/>
      <c r="C91" s="68"/>
      <c r="D91" s="76"/>
      <c r="E91" s="76"/>
      <c r="F91" s="192"/>
      <c r="G91" s="117"/>
      <c r="H91" s="114" t="s">
        <v>132</v>
      </c>
      <c r="I91" s="179">
        <f>50000*12</f>
        <v>600000</v>
      </c>
    </row>
    <row r="92" spans="1:9" ht="20.100000000000001" customHeight="1" x14ac:dyDescent="0.15">
      <c r="A92" s="65"/>
      <c r="B92" s="68"/>
      <c r="C92" s="68"/>
      <c r="D92" s="76"/>
      <c r="E92" s="76"/>
      <c r="F92" s="192"/>
      <c r="G92" s="117"/>
      <c r="H92" s="114" t="s">
        <v>133</v>
      </c>
      <c r="I92" s="179">
        <f>50000*12</f>
        <v>600000</v>
      </c>
    </row>
    <row r="93" spans="1:9" ht="20.100000000000001" customHeight="1" x14ac:dyDescent="0.15">
      <c r="A93" s="65"/>
      <c r="B93" s="68"/>
      <c r="C93" s="68"/>
      <c r="D93" s="76"/>
      <c r="E93" s="76"/>
      <c r="F93" s="192"/>
      <c r="G93" s="117"/>
      <c r="H93" s="114" t="s">
        <v>134</v>
      </c>
      <c r="I93" s="179">
        <f>70000*12</f>
        <v>840000</v>
      </c>
    </row>
    <row r="94" spans="1:9" ht="20.100000000000001" customHeight="1" x14ac:dyDescent="0.15">
      <c r="A94" s="65"/>
      <c r="B94" s="68"/>
      <c r="C94" s="68"/>
      <c r="D94" s="76"/>
      <c r="E94" s="76"/>
      <c r="F94" s="192"/>
      <c r="G94" s="117"/>
      <c r="H94" s="114" t="s">
        <v>159</v>
      </c>
      <c r="I94" s="179">
        <f>2000*40*1</f>
        <v>80000</v>
      </c>
    </row>
    <row r="95" spans="1:9" ht="20.100000000000001" customHeight="1" x14ac:dyDescent="0.15">
      <c r="A95" s="65"/>
      <c r="B95" s="68"/>
      <c r="C95" s="68"/>
      <c r="D95" s="76"/>
      <c r="E95" s="76"/>
      <c r="F95" s="192"/>
      <c r="G95" s="117"/>
      <c r="H95" s="114" t="s">
        <v>106</v>
      </c>
      <c r="I95" s="179">
        <f>50000*4</f>
        <v>200000</v>
      </c>
    </row>
    <row r="96" spans="1:9" ht="20.100000000000001" customHeight="1" x14ac:dyDescent="0.15">
      <c r="A96" s="65"/>
      <c r="B96" s="68"/>
      <c r="C96" s="68"/>
      <c r="D96" s="76"/>
      <c r="E96" s="76"/>
      <c r="F96" s="192"/>
      <c r="G96" s="117"/>
      <c r="H96" s="114" t="s">
        <v>135</v>
      </c>
      <c r="I96" s="179">
        <f>5000*40*1</f>
        <v>200000</v>
      </c>
    </row>
    <row r="97" spans="1:9" ht="20.100000000000001" customHeight="1" x14ac:dyDescent="0.15">
      <c r="A97" s="65"/>
      <c r="B97" s="68"/>
      <c r="C97" s="68"/>
      <c r="D97" s="76"/>
      <c r="E97" s="76"/>
      <c r="F97" s="192"/>
      <c r="G97" s="117"/>
      <c r="H97" s="114" t="s">
        <v>113</v>
      </c>
      <c r="I97" s="179">
        <f>40000*2</f>
        <v>80000</v>
      </c>
    </row>
    <row r="98" spans="1:9" ht="20.100000000000001" customHeight="1" x14ac:dyDescent="0.15">
      <c r="A98" s="65"/>
      <c r="B98" s="68"/>
      <c r="C98" s="68"/>
      <c r="D98" s="76"/>
      <c r="E98" s="76"/>
      <c r="F98" s="192"/>
      <c r="G98" s="117"/>
      <c r="H98" s="114" t="s">
        <v>114</v>
      </c>
      <c r="I98" s="180">
        <f>50000*4</f>
        <v>200000</v>
      </c>
    </row>
    <row r="99" spans="1:9" ht="20.100000000000001" customHeight="1" x14ac:dyDescent="0.15">
      <c r="A99" s="65"/>
      <c r="B99" s="73"/>
      <c r="C99" s="46" t="s">
        <v>60</v>
      </c>
      <c r="D99" s="75">
        <v>50000</v>
      </c>
      <c r="E99" s="75">
        <f>I100</f>
        <v>50000</v>
      </c>
      <c r="F99" s="75">
        <f>E99-D99</f>
        <v>0</v>
      </c>
      <c r="G99" s="124">
        <f t="shared" ref="G99" si="17">E99/D99*100</f>
        <v>100</v>
      </c>
      <c r="H99" s="113" t="s">
        <v>60</v>
      </c>
      <c r="I99" s="179"/>
    </row>
    <row r="100" spans="1:9" ht="20.100000000000001" customHeight="1" x14ac:dyDescent="0.15">
      <c r="A100" s="184"/>
      <c r="B100" s="185"/>
      <c r="C100" s="74"/>
      <c r="D100" s="161"/>
      <c r="E100" s="161"/>
      <c r="F100" s="193"/>
      <c r="G100" s="186"/>
      <c r="H100" s="162" t="s">
        <v>136</v>
      </c>
      <c r="I100" s="183">
        <f>50000*1</f>
        <v>50000</v>
      </c>
    </row>
    <row r="101" spans="1:9" ht="20.100000000000001" customHeight="1" x14ac:dyDescent="0.15">
      <c r="A101" s="65"/>
      <c r="B101" s="68"/>
      <c r="C101" s="68" t="s">
        <v>103</v>
      </c>
      <c r="D101" s="76">
        <v>200000</v>
      </c>
      <c r="E101" s="76">
        <f>I102+I103</f>
        <v>200000</v>
      </c>
      <c r="F101" s="76">
        <f>E101-D101</f>
        <v>0</v>
      </c>
      <c r="G101" s="133">
        <f t="shared" ref="G101" si="18">E101/D101*100</f>
        <v>100</v>
      </c>
      <c r="H101" s="114" t="s">
        <v>103</v>
      </c>
      <c r="I101" s="179"/>
    </row>
    <row r="102" spans="1:9" ht="20.100000000000001" customHeight="1" x14ac:dyDescent="0.15">
      <c r="A102" s="65"/>
      <c r="B102" s="68"/>
      <c r="C102" s="68"/>
      <c r="D102" s="76"/>
      <c r="E102" s="76"/>
      <c r="F102" s="192"/>
      <c r="G102" s="117"/>
      <c r="H102" s="114" t="s">
        <v>157</v>
      </c>
      <c r="I102" s="179">
        <f>30000*2</f>
        <v>60000</v>
      </c>
    </row>
    <row r="103" spans="1:9" ht="20.100000000000001" customHeight="1" x14ac:dyDescent="0.15">
      <c r="A103" s="65"/>
      <c r="B103" s="68"/>
      <c r="C103" s="68"/>
      <c r="D103" s="76"/>
      <c r="E103" s="76"/>
      <c r="F103" s="192"/>
      <c r="G103" s="117"/>
      <c r="H103" s="114" t="s">
        <v>158</v>
      </c>
      <c r="I103" s="179">
        <f>35000*4</f>
        <v>140000</v>
      </c>
    </row>
    <row r="104" spans="1:9" ht="20.100000000000001" customHeight="1" x14ac:dyDescent="0.15">
      <c r="A104" s="65"/>
      <c r="B104" s="68"/>
      <c r="C104" s="46" t="s">
        <v>104</v>
      </c>
      <c r="D104" s="75">
        <v>3080000</v>
      </c>
      <c r="E104" s="75">
        <f>I105+I106+I107+I108+I109+I110</f>
        <v>2680000</v>
      </c>
      <c r="F104" s="75">
        <f>E104-D104</f>
        <v>-400000</v>
      </c>
      <c r="G104" s="124">
        <f t="shared" ref="G104" si="19">E104/D104*100</f>
        <v>87.012987012987011</v>
      </c>
      <c r="H104" s="127" t="s">
        <v>104</v>
      </c>
      <c r="I104" s="178"/>
    </row>
    <row r="105" spans="1:9" ht="20.100000000000001" customHeight="1" x14ac:dyDescent="0.15">
      <c r="A105" s="65"/>
      <c r="B105" s="68"/>
      <c r="C105" s="68"/>
      <c r="D105" s="76"/>
      <c r="E105" s="76"/>
      <c r="F105" s="76"/>
      <c r="G105" s="133"/>
      <c r="H105" s="130" t="s">
        <v>137</v>
      </c>
      <c r="I105" s="179">
        <f>50000*10</f>
        <v>500000</v>
      </c>
    </row>
    <row r="106" spans="1:9" ht="20.100000000000001" customHeight="1" x14ac:dyDescent="0.15">
      <c r="A106" s="65"/>
      <c r="B106" s="68"/>
      <c r="C106" s="68"/>
      <c r="D106" s="76"/>
      <c r="E106" s="76"/>
      <c r="F106" s="76"/>
      <c r="G106" s="133"/>
      <c r="H106" s="130" t="s">
        <v>111</v>
      </c>
      <c r="I106" s="179">
        <f>6000*40*1</f>
        <v>240000</v>
      </c>
    </row>
    <row r="107" spans="1:9" ht="20.100000000000001" customHeight="1" x14ac:dyDescent="0.15">
      <c r="A107" s="65"/>
      <c r="B107" s="68"/>
      <c r="C107" s="68"/>
      <c r="D107" s="76"/>
      <c r="E107" s="76"/>
      <c r="F107" s="76"/>
      <c r="G107" s="133"/>
      <c r="H107" s="130" t="s">
        <v>256</v>
      </c>
      <c r="I107" s="179">
        <f>300000*1</f>
        <v>300000</v>
      </c>
    </row>
    <row r="108" spans="1:9" ht="20.100000000000001" customHeight="1" x14ac:dyDescent="0.15">
      <c r="A108" s="65"/>
      <c r="B108" s="68"/>
      <c r="C108" s="68"/>
      <c r="D108" s="76"/>
      <c r="E108" s="76"/>
      <c r="F108" s="76"/>
      <c r="G108" s="133"/>
      <c r="H108" s="130" t="s">
        <v>138</v>
      </c>
      <c r="I108" s="179">
        <f>188000*5</f>
        <v>940000</v>
      </c>
    </row>
    <row r="109" spans="1:9" ht="20.100000000000001" customHeight="1" x14ac:dyDescent="0.15">
      <c r="A109" s="65"/>
      <c r="B109" s="68"/>
      <c r="C109" s="68"/>
      <c r="D109" s="76"/>
      <c r="E109" s="76"/>
      <c r="F109" s="192"/>
      <c r="G109" s="117"/>
      <c r="H109" s="130" t="s">
        <v>161</v>
      </c>
      <c r="I109" s="179">
        <f>500000*1</f>
        <v>500000</v>
      </c>
    </row>
    <row r="110" spans="1:9" ht="20.100000000000001" customHeight="1" x14ac:dyDescent="0.15">
      <c r="A110" s="65"/>
      <c r="B110" s="68"/>
      <c r="C110" s="68"/>
      <c r="D110" s="76"/>
      <c r="E110" s="76"/>
      <c r="F110" s="192"/>
      <c r="G110" s="117"/>
      <c r="H110" s="130" t="s">
        <v>139</v>
      </c>
      <c r="I110" s="180">
        <f>100000*2</f>
        <v>200000</v>
      </c>
    </row>
    <row r="111" spans="1:9" ht="20.100000000000001" customHeight="1" x14ac:dyDescent="0.15">
      <c r="A111" s="65"/>
      <c r="B111" s="68"/>
      <c r="C111" s="46" t="s">
        <v>105</v>
      </c>
      <c r="D111" s="75">
        <v>600000</v>
      </c>
      <c r="E111" s="75">
        <f>I112</f>
        <v>600000</v>
      </c>
      <c r="F111" s="75">
        <f>E111-D111</f>
        <v>0</v>
      </c>
      <c r="G111" s="124">
        <f t="shared" ref="G111" si="20">E111/D111*100</f>
        <v>100</v>
      </c>
      <c r="H111" s="127" t="s">
        <v>61</v>
      </c>
      <c r="I111" s="179"/>
    </row>
    <row r="112" spans="1:9" ht="20.100000000000001" customHeight="1" x14ac:dyDescent="0.15">
      <c r="A112" s="65"/>
      <c r="B112" s="68"/>
      <c r="C112" s="68"/>
      <c r="D112" s="76"/>
      <c r="E112" s="76"/>
      <c r="F112" s="192"/>
      <c r="G112" s="117"/>
      <c r="H112" s="130" t="s">
        <v>112</v>
      </c>
      <c r="I112" s="179">
        <f>150000*4</f>
        <v>600000</v>
      </c>
    </row>
    <row r="113" spans="1:9" ht="19.5" customHeight="1" x14ac:dyDescent="0.15">
      <c r="A113" s="65"/>
      <c r="B113" s="150" t="s">
        <v>62</v>
      </c>
      <c r="C113" s="151"/>
      <c r="D113" s="141">
        <f>D114+D117+D122+D124+D126</f>
        <v>2579000</v>
      </c>
      <c r="E113" s="53">
        <f>E114+E117+E122+E124+E126</f>
        <v>3799000</v>
      </c>
      <c r="F113" s="53">
        <f t="shared" ref="F113:F114" si="21">E113-D113</f>
        <v>1220000</v>
      </c>
      <c r="G113" s="121">
        <f t="shared" ref="G113:G117" si="22">E113/D113*100</f>
        <v>147.30515703761148</v>
      </c>
      <c r="H113" s="112" t="s">
        <v>62</v>
      </c>
      <c r="I113" s="177"/>
    </row>
    <row r="114" spans="1:9" ht="20.100000000000001" customHeight="1" x14ac:dyDescent="0.15">
      <c r="A114" s="65"/>
      <c r="B114" s="68"/>
      <c r="C114" s="46" t="s">
        <v>63</v>
      </c>
      <c r="D114" s="75">
        <v>800000</v>
      </c>
      <c r="E114" s="75">
        <f>I116+I115</f>
        <v>3000000</v>
      </c>
      <c r="F114" s="75">
        <f t="shared" si="21"/>
        <v>2200000</v>
      </c>
      <c r="G114" s="124">
        <f t="shared" si="22"/>
        <v>375</v>
      </c>
      <c r="H114" s="113" t="s">
        <v>65</v>
      </c>
      <c r="I114" s="179"/>
    </row>
    <row r="115" spans="1:9" ht="20.100000000000001" customHeight="1" x14ac:dyDescent="0.15">
      <c r="A115" s="65"/>
      <c r="B115" s="68"/>
      <c r="C115" s="68"/>
      <c r="D115" s="76"/>
      <c r="E115" s="76"/>
      <c r="F115" s="76"/>
      <c r="G115" s="133"/>
      <c r="H115" s="114" t="s">
        <v>208</v>
      </c>
      <c r="I115" s="180">
        <f>250000*4</f>
        <v>1000000</v>
      </c>
    </row>
    <row r="116" spans="1:9" ht="20.100000000000001" customHeight="1" x14ac:dyDescent="0.15">
      <c r="A116" s="65"/>
      <c r="B116" s="68"/>
      <c r="C116" s="68"/>
      <c r="D116" s="76"/>
      <c r="E116" s="76"/>
      <c r="F116" s="192"/>
      <c r="G116" s="117"/>
      <c r="H116" s="114" t="s">
        <v>211</v>
      </c>
      <c r="I116" s="180">
        <f>2000000*1</f>
        <v>2000000</v>
      </c>
    </row>
    <row r="117" spans="1:9" ht="20.100000000000001" customHeight="1" x14ac:dyDescent="0.15">
      <c r="A117" s="65"/>
      <c r="B117" s="68"/>
      <c r="C117" s="46" t="s">
        <v>64</v>
      </c>
      <c r="D117" s="75">
        <v>799000</v>
      </c>
      <c r="E117" s="75">
        <f>I118+I119+I120+I121</f>
        <v>399000</v>
      </c>
      <c r="F117" s="75">
        <f>E117-D117</f>
        <v>-400000</v>
      </c>
      <c r="G117" s="124">
        <f t="shared" si="22"/>
        <v>49.937421777221523</v>
      </c>
      <c r="H117" s="113" t="s">
        <v>66</v>
      </c>
      <c r="I117" s="179"/>
    </row>
    <row r="118" spans="1:9" ht="20.100000000000001" customHeight="1" x14ac:dyDescent="0.15">
      <c r="A118" s="65"/>
      <c r="B118" s="68"/>
      <c r="C118" s="68"/>
      <c r="D118" s="76"/>
      <c r="E118" s="76"/>
      <c r="F118" s="192"/>
      <c r="G118" s="117"/>
      <c r="H118" s="114" t="s">
        <v>209</v>
      </c>
      <c r="I118" s="179">
        <f>100000*1</f>
        <v>100000</v>
      </c>
    </row>
    <row r="119" spans="1:9" ht="20.100000000000001" customHeight="1" x14ac:dyDescent="0.15">
      <c r="A119" s="65"/>
      <c r="B119" s="68"/>
      <c r="C119" s="68"/>
      <c r="D119" s="76"/>
      <c r="E119" s="76"/>
      <c r="F119" s="192"/>
      <c r="G119" s="117"/>
      <c r="H119" s="114" t="s">
        <v>162</v>
      </c>
      <c r="I119" s="179">
        <f>24000*6</f>
        <v>144000</v>
      </c>
    </row>
    <row r="120" spans="1:9" ht="20.100000000000001" customHeight="1" x14ac:dyDescent="0.15">
      <c r="A120" s="65"/>
      <c r="B120" s="68"/>
      <c r="C120" s="68"/>
      <c r="D120" s="76"/>
      <c r="E120" s="76"/>
      <c r="F120" s="192"/>
      <c r="G120" s="117"/>
      <c r="H120" s="114" t="s">
        <v>73</v>
      </c>
      <c r="I120" s="179">
        <f>35000*1</f>
        <v>35000</v>
      </c>
    </row>
    <row r="121" spans="1:9" ht="20.100000000000001" customHeight="1" x14ac:dyDescent="0.15">
      <c r="A121" s="65"/>
      <c r="B121" s="68"/>
      <c r="C121" s="78"/>
      <c r="D121" s="76"/>
      <c r="E121" s="76"/>
      <c r="F121" s="192"/>
      <c r="G121" s="117"/>
      <c r="H121" s="114" t="s">
        <v>119</v>
      </c>
      <c r="I121" s="180">
        <f>30000*4</f>
        <v>120000</v>
      </c>
    </row>
    <row r="122" spans="1:9" ht="20.100000000000001" customHeight="1" x14ac:dyDescent="0.15">
      <c r="A122" s="65"/>
      <c r="B122" s="68"/>
      <c r="C122" s="79" t="s">
        <v>74</v>
      </c>
      <c r="D122" s="75">
        <v>400000</v>
      </c>
      <c r="E122" s="75">
        <f>I123</f>
        <v>100000</v>
      </c>
      <c r="F122" s="75">
        <f>E122-D122</f>
        <v>-300000</v>
      </c>
      <c r="G122" s="124">
        <f t="shared" ref="G122" si="23">E122/D122*100</f>
        <v>25</v>
      </c>
      <c r="H122" s="113" t="s">
        <v>67</v>
      </c>
      <c r="I122" s="179"/>
    </row>
    <row r="123" spans="1:9" ht="20.100000000000001" customHeight="1" x14ac:dyDescent="0.15">
      <c r="A123" s="65"/>
      <c r="B123" s="68"/>
      <c r="C123" s="68"/>
      <c r="D123" s="76"/>
      <c r="E123" s="76"/>
      <c r="F123" s="192"/>
      <c r="G123" s="117"/>
      <c r="H123" s="114" t="s">
        <v>213</v>
      </c>
      <c r="I123" s="179">
        <f>100000*1</f>
        <v>100000</v>
      </c>
    </row>
    <row r="124" spans="1:9" ht="20.100000000000001" customHeight="1" x14ac:dyDescent="0.15">
      <c r="A124" s="65"/>
      <c r="B124" s="68"/>
      <c r="C124" s="79" t="s">
        <v>129</v>
      </c>
      <c r="D124" s="75">
        <v>500000</v>
      </c>
      <c r="E124" s="75">
        <f>I125</f>
        <v>0</v>
      </c>
      <c r="F124" s="75">
        <f>E124-D124</f>
        <v>-500000</v>
      </c>
      <c r="G124" s="124">
        <f t="shared" ref="G124" si="24">E124/D124*100</f>
        <v>0</v>
      </c>
      <c r="H124" s="113" t="s">
        <v>129</v>
      </c>
      <c r="I124" s="178"/>
    </row>
    <row r="125" spans="1:9" ht="20.100000000000001" customHeight="1" x14ac:dyDescent="0.15">
      <c r="A125" s="184"/>
      <c r="B125" s="74"/>
      <c r="C125" s="74"/>
      <c r="D125" s="161"/>
      <c r="E125" s="161"/>
      <c r="F125" s="193"/>
      <c r="G125" s="186"/>
      <c r="H125" s="162" t="s">
        <v>214</v>
      </c>
      <c r="I125" s="237">
        <v>0</v>
      </c>
    </row>
    <row r="126" spans="1:9" ht="20.100000000000001" customHeight="1" x14ac:dyDescent="0.15">
      <c r="A126" s="65"/>
      <c r="B126" s="68"/>
      <c r="C126" s="68" t="s">
        <v>68</v>
      </c>
      <c r="D126" s="76">
        <v>80000</v>
      </c>
      <c r="E126" s="76">
        <f>I127</f>
        <v>300000</v>
      </c>
      <c r="F126" s="76">
        <f>E126-D126</f>
        <v>220000</v>
      </c>
      <c r="G126" s="133">
        <f t="shared" ref="G126" si="25">E126/D126*100</f>
        <v>375</v>
      </c>
      <c r="H126" s="114" t="s">
        <v>68</v>
      </c>
      <c r="I126" s="179"/>
    </row>
    <row r="127" spans="1:9" ht="20.100000000000001" customHeight="1" x14ac:dyDescent="0.15">
      <c r="A127" s="65"/>
      <c r="B127" s="68"/>
      <c r="C127" s="68"/>
      <c r="D127" s="76"/>
      <c r="E127" s="76"/>
      <c r="F127" s="192"/>
      <c r="G127" s="118"/>
      <c r="H127" s="114" t="s">
        <v>215</v>
      </c>
      <c r="I127" s="179">
        <f>300000*1</f>
        <v>300000</v>
      </c>
    </row>
    <row r="128" spans="1:9" ht="20.100000000000001" customHeight="1" x14ac:dyDescent="0.15">
      <c r="A128" s="152" t="s">
        <v>69</v>
      </c>
      <c r="B128" s="153"/>
      <c r="C128" s="151"/>
      <c r="D128" s="54">
        <f>D129</f>
        <v>101094</v>
      </c>
      <c r="E128" s="54">
        <f>E129</f>
        <v>254044</v>
      </c>
      <c r="F128" s="54">
        <f t="shared" si="0"/>
        <v>152950</v>
      </c>
      <c r="G128" s="120">
        <f t="shared" ref="G128:G132" si="26">E128/D128*100</f>
        <v>251.29483451045562</v>
      </c>
      <c r="H128" s="112" t="s">
        <v>69</v>
      </c>
      <c r="I128" s="177"/>
    </row>
    <row r="129" spans="1:9" ht="20.100000000000001" customHeight="1" x14ac:dyDescent="0.15">
      <c r="A129" s="65"/>
      <c r="B129" s="150" t="s">
        <v>69</v>
      </c>
      <c r="C129" s="151"/>
      <c r="D129" s="53">
        <f>D130+D132</f>
        <v>101094</v>
      </c>
      <c r="E129" s="53">
        <f>E130+E132</f>
        <v>254044</v>
      </c>
      <c r="F129" s="53">
        <f t="shared" si="0"/>
        <v>152950</v>
      </c>
      <c r="G129" s="120">
        <f t="shared" si="26"/>
        <v>251.29483451045562</v>
      </c>
      <c r="H129" s="112" t="s">
        <v>69</v>
      </c>
      <c r="I129" s="177"/>
    </row>
    <row r="130" spans="1:9" ht="20.100000000000001" customHeight="1" x14ac:dyDescent="0.15">
      <c r="A130" s="65"/>
      <c r="B130" s="73"/>
      <c r="C130" s="46" t="s">
        <v>70</v>
      </c>
      <c r="D130" s="75">
        <v>81094</v>
      </c>
      <c r="E130" s="75">
        <f>I131</f>
        <v>154044</v>
      </c>
      <c r="F130" s="75">
        <f t="shared" si="0"/>
        <v>72950</v>
      </c>
      <c r="G130" s="139">
        <f t="shared" si="26"/>
        <v>189.95733346486793</v>
      </c>
      <c r="H130" s="129" t="s">
        <v>70</v>
      </c>
      <c r="I130" s="178"/>
    </row>
    <row r="131" spans="1:9" ht="20.100000000000001" customHeight="1" x14ac:dyDescent="0.15">
      <c r="A131" s="65"/>
      <c r="B131" s="73"/>
      <c r="C131" s="69"/>
      <c r="D131" s="77"/>
      <c r="E131" s="77"/>
      <c r="F131" s="77"/>
      <c r="G131" s="120"/>
      <c r="H131" s="163" t="s">
        <v>231</v>
      </c>
      <c r="I131" s="180">
        <f>154044*1</f>
        <v>154044</v>
      </c>
    </row>
    <row r="132" spans="1:9" ht="20.100000000000001" customHeight="1" x14ac:dyDescent="0.15">
      <c r="A132" s="65"/>
      <c r="B132" s="73"/>
      <c r="C132" s="46" t="s">
        <v>140</v>
      </c>
      <c r="D132" s="75">
        <v>20000</v>
      </c>
      <c r="E132" s="75">
        <f>I133</f>
        <v>100000</v>
      </c>
      <c r="F132" s="75">
        <f t="shared" si="0"/>
        <v>80000</v>
      </c>
      <c r="G132" s="124">
        <f t="shared" si="26"/>
        <v>500</v>
      </c>
      <c r="H132" s="129" t="s">
        <v>140</v>
      </c>
      <c r="I132" s="179"/>
    </row>
    <row r="133" spans="1:9" ht="20.100000000000001" customHeight="1" x14ac:dyDescent="0.15">
      <c r="A133" s="67"/>
      <c r="B133" s="74"/>
      <c r="C133" s="74"/>
      <c r="D133" s="161"/>
      <c r="E133" s="161"/>
      <c r="F133" s="161"/>
      <c r="G133" s="123"/>
      <c r="H133" s="162" t="s">
        <v>210</v>
      </c>
      <c r="I133" s="183">
        <f>100000*1</f>
        <v>100000</v>
      </c>
    </row>
  </sheetData>
  <mergeCells count="9">
    <mergeCell ref="F4:G4"/>
    <mergeCell ref="H4:I5"/>
    <mergeCell ref="A6:C6"/>
    <mergeCell ref="H3:I3"/>
    <mergeCell ref="A73:A74"/>
    <mergeCell ref="A3:C3"/>
    <mergeCell ref="A4:C4"/>
    <mergeCell ref="D4:D5"/>
    <mergeCell ref="E4:E5"/>
  </mergeCells>
  <phoneticPr fontId="2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firstPageNumber="3" orientation="landscape" useFirstPageNumber="1" r:id="rId1"/>
  <headerFooter alignWithMargins="0">
    <oddFooter>&amp;R참좋은기억학교(2021.11.30)</oddFooter>
  </headerFooter>
  <rowBreaks count="5" manualBreakCount="5">
    <brk id="27" max="8" man="1"/>
    <brk id="51" max="8" man="1"/>
    <brk id="76" max="8" man="1"/>
    <brk id="100" max="8" man="1"/>
    <brk id="125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5"/>
  <sheetViews>
    <sheetView view="pageBreakPreview" zoomScaleNormal="100" zoomScaleSheetLayoutView="100" workbookViewId="0">
      <selection activeCell="C51" sqref="C51:E51"/>
    </sheetView>
  </sheetViews>
  <sheetFormatPr defaultRowHeight="13.5" x14ac:dyDescent="0.15"/>
  <cols>
    <col min="1" max="1" width="13.44140625" style="86" customWidth="1"/>
    <col min="2" max="2" width="15.6640625" style="87" customWidth="1"/>
    <col min="3" max="3" width="12.88671875" style="171" customWidth="1"/>
    <col min="4" max="4" width="12.77734375" style="171" customWidth="1"/>
    <col min="5" max="5" width="12.88671875" style="171" customWidth="1"/>
    <col min="6" max="16384" width="8.88671875" style="86"/>
  </cols>
  <sheetData>
    <row r="1" spans="1:5" ht="46.5" customHeight="1" x14ac:dyDescent="0.15">
      <c r="A1" s="287" t="s">
        <v>251</v>
      </c>
      <c r="B1" s="287"/>
      <c r="C1" s="287"/>
      <c r="D1" s="287"/>
      <c r="E1" s="287"/>
    </row>
    <row r="2" spans="1:5" ht="23.1" customHeight="1" x14ac:dyDescent="0.15">
      <c r="A2" s="288" t="s">
        <v>147</v>
      </c>
      <c r="B2" s="288"/>
      <c r="C2" s="170"/>
      <c r="D2" s="170"/>
      <c r="E2" s="170"/>
    </row>
    <row r="3" spans="1:5" ht="23.1" customHeight="1" x14ac:dyDescent="0.15">
      <c r="A3" s="289" t="s">
        <v>144</v>
      </c>
      <c r="B3" s="289"/>
      <c r="C3" s="168"/>
      <c r="D3" s="169"/>
      <c r="E3" s="168" t="s">
        <v>145</v>
      </c>
    </row>
    <row r="4" spans="1:5" ht="23.1" customHeight="1" thickBot="1" x14ac:dyDescent="0.2">
      <c r="A4" s="195" t="s">
        <v>3</v>
      </c>
      <c r="B4" s="196" t="s">
        <v>17</v>
      </c>
      <c r="C4" s="197" t="s">
        <v>232</v>
      </c>
      <c r="D4" s="197" t="s">
        <v>233</v>
      </c>
      <c r="E4" s="198" t="s">
        <v>95</v>
      </c>
    </row>
    <row r="5" spans="1:5" ht="20.100000000000001" customHeight="1" thickTop="1" x14ac:dyDescent="0.15">
      <c r="A5" s="290"/>
      <c r="B5" s="291"/>
      <c r="C5" s="101">
        <f>SUM(C6:C13)</f>
        <v>371131520</v>
      </c>
      <c r="D5" s="101">
        <f>SUM(D6:D13)</f>
        <v>374315520</v>
      </c>
      <c r="E5" s="105">
        <f t="shared" ref="E5:E6" si="0">D5-C5</f>
        <v>3184000</v>
      </c>
    </row>
    <row r="6" spans="1:5" ht="20.100000000000001" customHeight="1" x14ac:dyDescent="0.15">
      <c r="A6" s="225" t="str">
        <f>[1]세입!C8</f>
        <v>입소비용수입</v>
      </c>
      <c r="B6" s="164" t="str">
        <f>[1]세입!D9</f>
        <v>입소비용수입</v>
      </c>
      <c r="C6" s="90">
        <v>37650000</v>
      </c>
      <c r="D6" s="90">
        <v>42419000</v>
      </c>
      <c r="E6" s="106">
        <f t="shared" si="0"/>
        <v>4769000</v>
      </c>
    </row>
    <row r="7" spans="1:5" ht="20.100000000000001" customHeight="1" x14ac:dyDescent="0.15">
      <c r="A7" s="226"/>
      <c r="B7" s="165"/>
      <c r="C7" s="274" t="s">
        <v>234</v>
      </c>
      <c r="D7" s="275"/>
      <c r="E7" s="276"/>
    </row>
    <row r="8" spans="1:5" ht="20.100000000000001" customHeight="1" x14ac:dyDescent="0.15">
      <c r="A8" s="225" t="s">
        <v>116</v>
      </c>
      <c r="B8" s="164" t="s">
        <v>128</v>
      </c>
      <c r="C8" s="90">
        <v>329661400</v>
      </c>
      <c r="D8" s="90">
        <v>328188450</v>
      </c>
      <c r="E8" s="106">
        <f t="shared" ref="E8" si="1">D8-C8</f>
        <v>-1472950</v>
      </c>
    </row>
    <row r="9" spans="1:5" ht="20.100000000000001" customHeight="1" x14ac:dyDescent="0.15">
      <c r="A9" s="227"/>
      <c r="B9" s="165"/>
      <c r="C9" s="271" t="s">
        <v>185</v>
      </c>
      <c r="D9" s="272"/>
      <c r="E9" s="273"/>
    </row>
    <row r="10" spans="1:5" ht="20.100000000000001" customHeight="1" x14ac:dyDescent="0.15">
      <c r="A10" s="225" t="s">
        <v>117</v>
      </c>
      <c r="B10" s="164" t="s">
        <v>96</v>
      </c>
      <c r="C10" s="137">
        <v>28120</v>
      </c>
      <c r="D10" s="135">
        <v>28070</v>
      </c>
      <c r="E10" s="134">
        <f t="shared" ref="E10" si="2">D10-C10</f>
        <v>-50</v>
      </c>
    </row>
    <row r="11" spans="1:5" ht="20.100000000000001" customHeight="1" x14ac:dyDescent="0.15">
      <c r="A11" s="227"/>
      <c r="B11" s="165"/>
      <c r="C11" s="271" t="s">
        <v>163</v>
      </c>
      <c r="D11" s="272"/>
      <c r="E11" s="273"/>
    </row>
    <row r="12" spans="1:5" ht="20.100000000000001" customHeight="1" x14ac:dyDescent="0.15">
      <c r="A12" s="227"/>
      <c r="B12" s="166" t="s">
        <v>141</v>
      </c>
      <c r="C12" s="137">
        <v>3792000</v>
      </c>
      <c r="D12" s="135">
        <v>3680000</v>
      </c>
      <c r="E12" s="134">
        <f t="shared" ref="E12" si="3">D12-C12</f>
        <v>-112000</v>
      </c>
    </row>
    <row r="13" spans="1:5" ht="20.100000000000001" customHeight="1" x14ac:dyDescent="0.15">
      <c r="A13" s="228"/>
      <c r="B13" s="167"/>
      <c r="C13" s="277" t="s">
        <v>235</v>
      </c>
      <c r="D13" s="278"/>
      <c r="E13" s="279"/>
    </row>
    <row r="14" spans="1:5" ht="23.1" customHeight="1" x14ac:dyDescent="0.15">
      <c r="A14" s="94"/>
      <c r="B14" s="95"/>
      <c r="C14" s="96"/>
      <c r="D14" s="97"/>
      <c r="E14" s="96"/>
    </row>
    <row r="15" spans="1:5" ht="23.1" customHeight="1" x14ac:dyDescent="0.15">
      <c r="A15" s="289" t="s">
        <v>146</v>
      </c>
      <c r="B15" s="289"/>
      <c r="C15" s="88"/>
      <c r="D15" s="89"/>
      <c r="E15" s="88" t="s">
        <v>145</v>
      </c>
    </row>
    <row r="16" spans="1:5" ht="23.1" customHeight="1" thickBot="1" x14ac:dyDescent="0.2">
      <c r="A16" s="195" t="s">
        <v>3</v>
      </c>
      <c r="B16" s="196" t="s">
        <v>17</v>
      </c>
      <c r="C16" s="197" t="s">
        <v>232</v>
      </c>
      <c r="D16" s="197" t="s">
        <v>233</v>
      </c>
      <c r="E16" s="198" t="s">
        <v>95</v>
      </c>
    </row>
    <row r="17" spans="1:5" ht="20.100000000000001" customHeight="1" thickTop="1" x14ac:dyDescent="0.15">
      <c r="A17" s="290"/>
      <c r="B17" s="291"/>
      <c r="C17" s="199">
        <f>SUM(C18:C55)</f>
        <v>337458740</v>
      </c>
      <c r="D17" s="101">
        <f>SUM(D18:D55)</f>
        <v>340642740</v>
      </c>
      <c r="E17" s="105">
        <f t="shared" ref="E17" si="4">D17-C17</f>
        <v>3184000</v>
      </c>
    </row>
    <row r="18" spans="1:5" ht="20.100000000000001" customHeight="1" x14ac:dyDescent="0.15">
      <c r="A18" s="229" t="str">
        <f>[1]세출!C9</f>
        <v>인건비</v>
      </c>
      <c r="B18" s="147" t="str">
        <f>[1]세출!D10</f>
        <v>급여</v>
      </c>
      <c r="C18" s="90">
        <v>238752820</v>
      </c>
      <c r="D18" s="90">
        <v>238478530</v>
      </c>
      <c r="E18" s="107">
        <f t="shared" ref="E18:E34" si="5">D18-C18</f>
        <v>-274290</v>
      </c>
    </row>
    <row r="19" spans="1:5" ht="20.100000000000001" customHeight="1" x14ac:dyDescent="0.15">
      <c r="A19" s="230"/>
      <c r="B19" s="149"/>
      <c r="C19" s="271" t="s">
        <v>186</v>
      </c>
      <c r="D19" s="272"/>
      <c r="E19" s="273"/>
    </row>
    <row r="20" spans="1:5" ht="20.100000000000001" customHeight="1" x14ac:dyDescent="0.15">
      <c r="A20" s="230"/>
      <c r="B20" s="98" t="str">
        <f>[1]세출!D42</f>
        <v>퇴직금및퇴직적립금</v>
      </c>
      <c r="C20" s="90">
        <v>22012270</v>
      </c>
      <c r="D20" s="90">
        <v>21742720</v>
      </c>
      <c r="E20" s="108">
        <f t="shared" si="5"/>
        <v>-269550</v>
      </c>
    </row>
    <row r="21" spans="1:5" ht="20.100000000000001" customHeight="1" x14ac:dyDescent="0.15">
      <c r="A21" s="230"/>
      <c r="B21" s="104"/>
      <c r="C21" s="271" t="s">
        <v>187</v>
      </c>
      <c r="D21" s="272"/>
      <c r="E21" s="273"/>
    </row>
    <row r="22" spans="1:5" ht="20.100000000000001" customHeight="1" x14ac:dyDescent="0.15">
      <c r="A22" s="93"/>
      <c r="B22" s="147" t="str">
        <f>[2]세출!D39</f>
        <v>사회보험부담금</v>
      </c>
      <c r="C22" s="90">
        <v>26026130</v>
      </c>
      <c r="D22" s="90">
        <v>25097020</v>
      </c>
      <c r="E22" s="108">
        <f t="shared" si="5"/>
        <v>-929110</v>
      </c>
    </row>
    <row r="23" spans="1:5" ht="20.100000000000001" customHeight="1" x14ac:dyDescent="0.15">
      <c r="A23" s="93"/>
      <c r="B23" s="149"/>
      <c r="C23" s="271" t="s">
        <v>188</v>
      </c>
      <c r="D23" s="272"/>
      <c r="E23" s="273"/>
    </row>
    <row r="24" spans="1:5" ht="20.100000000000001" customHeight="1" x14ac:dyDescent="0.15">
      <c r="A24" s="91" t="s">
        <v>142</v>
      </c>
      <c r="B24" s="147" t="s">
        <v>48</v>
      </c>
      <c r="C24" s="100">
        <v>300000</v>
      </c>
      <c r="D24" s="90">
        <v>100000</v>
      </c>
      <c r="E24" s="108">
        <f t="shared" si="5"/>
        <v>-200000</v>
      </c>
    </row>
    <row r="25" spans="1:5" ht="20.100000000000001" customHeight="1" x14ac:dyDescent="0.15">
      <c r="A25" s="93"/>
      <c r="B25" s="148"/>
      <c r="C25" s="271" t="s">
        <v>236</v>
      </c>
      <c r="D25" s="272"/>
      <c r="E25" s="273"/>
    </row>
    <row r="26" spans="1:5" ht="20.100000000000001" customHeight="1" x14ac:dyDescent="0.15">
      <c r="A26" s="91" t="s">
        <v>143</v>
      </c>
      <c r="B26" s="147" t="s">
        <v>51</v>
      </c>
      <c r="C26" s="100">
        <v>200000</v>
      </c>
      <c r="D26" s="90">
        <v>40000</v>
      </c>
      <c r="E26" s="108">
        <f t="shared" ref="E26" si="6">D26-C26</f>
        <v>-160000</v>
      </c>
    </row>
    <row r="27" spans="1:5" ht="20.100000000000001" customHeight="1" x14ac:dyDescent="0.15">
      <c r="A27" s="93"/>
      <c r="B27" s="149"/>
      <c r="C27" s="271" t="s">
        <v>237</v>
      </c>
      <c r="D27" s="272"/>
      <c r="E27" s="273"/>
    </row>
    <row r="28" spans="1:5" ht="20.100000000000001" customHeight="1" x14ac:dyDescent="0.15">
      <c r="A28" s="93"/>
      <c r="B28" s="92" t="s">
        <v>189</v>
      </c>
      <c r="C28" s="217">
        <v>14341600</v>
      </c>
      <c r="D28" s="218">
        <v>14841600</v>
      </c>
      <c r="E28" s="108">
        <f>D28-C28</f>
        <v>500000</v>
      </c>
    </row>
    <row r="29" spans="1:5" ht="20.100000000000001" customHeight="1" x14ac:dyDescent="0.15">
      <c r="A29" s="93"/>
      <c r="B29" s="216"/>
      <c r="C29" s="285" t="s">
        <v>238</v>
      </c>
      <c r="D29" s="285"/>
      <c r="E29" s="286"/>
    </row>
    <row r="30" spans="1:5" ht="20.100000000000001" customHeight="1" x14ac:dyDescent="0.15">
      <c r="A30" s="93"/>
      <c r="B30" s="92" t="s">
        <v>55</v>
      </c>
      <c r="C30" s="172">
        <v>7200000</v>
      </c>
      <c r="D30" s="172">
        <v>8400000</v>
      </c>
      <c r="E30" s="108">
        <f>D30-C30</f>
        <v>1200000</v>
      </c>
    </row>
    <row r="31" spans="1:5" ht="20.100000000000001" customHeight="1" x14ac:dyDescent="0.15">
      <c r="A31" s="93"/>
      <c r="B31" s="220"/>
      <c r="C31" s="285" t="s">
        <v>239</v>
      </c>
      <c r="D31" s="285"/>
      <c r="E31" s="286"/>
    </row>
    <row r="32" spans="1:5" ht="20.100000000000001" customHeight="1" x14ac:dyDescent="0.15">
      <c r="A32" s="93"/>
      <c r="B32" s="216" t="s">
        <v>56</v>
      </c>
      <c r="C32" s="172">
        <v>4180000</v>
      </c>
      <c r="D32" s="172">
        <v>4368000</v>
      </c>
      <c r="E32" s="108">
        <f>D32-C32</f>
        <v>188000</v>
      </c>
    </row>
    <row r="33" spans="1:5" ht="20.100000000000001" customHeight="1" x14ac:dyDescent="0.15">
      <c r="A33" s="110"/>
      <c r="B33" s="236"/>
      <c r="C33" s="280" t="s">
        <v>240</v>
      </c>
      <c r="D33" s="280"/>
      <c r="E33" s="281"/>
    </row>
    <row r="34" spans="1:5" ht="20.100000000000001" customHeight="1" x14ac:dyDescent="0.15">
      <c r="A34" s="93" t="s">
        <v>28</v>
      </c>
      <c r="B34" s="149" t="s">
        <v>29</v>
      </c>
      <c r="C34" s="97">
        <v>5033826</v>
      </c>
      <c r="D34" s="219">
        <v>5433826</v>
      </c>
      <c r="E34" s="205">
        <f t="shared" si="5"/>
        <v>400000</v>
      </c>
    </row>
    <row r="35" spans="1:5" ht="20.100000000000001" customHeight="1" x14ac:dyDescent="0.15">
      <c r="A35" s="93"/>
      <c r="B35" s="149"/>
      <c r="C35" s="271" t="s">
        <v>241</v>
      </c>
      <c r="D35" s="272"/>
      <c r="E35" s="273"/>
    </row>
    <row r="36" spans="1:5" ht="20.100000000000001" customHeight="1" x14ac:dyDescent="0.15">
      <c r="A36" s="93"/>
      <c r="B36" s="147" t="s">
        <v>99</v>
      </c>
      <c r="C36" s="99">
        <v>600000</v>
      </c>
      <c r="D36" s="90">
        <v>850000</v>
      </c>
      <c r="E36" s="109">
        <f t="shared" ref="E36" si="7">D36-C36</f>
        <v>250000</v>
      </c>
    </row>
    <row r="37" spans="1:5" ht="20.100000000000001" customHeight="1" x14ac:dyDescent="0.15">
      <c r="A37" s="93"/>
      <c r="B37" s="149"/>
      <c r="C37" s="271" t="s">
        <v>242</v>
      </c>
      <c r="D37" s="272"/>
      <c r="E37" s="273"/>
    </row>
    <row r="38" spans="1:5" ht="20.100000000000001" customHeight="1" x14ac:dyDescent="0.15">
      <c r="A38" s="91" t="s">
        <v>50</v>
      </c>
      <c r="B38" s="147" t="s">
        <v>58</v>
      </c>
      <c r="C38" s="99">
        <v>13052000</v>
      </c>
      <c r="D38" s="90">
        <v>14558000</v>
      </c>
      <c r="E38" s="109">
        <f t="shared" ref="E38" si="8">D38-C38</f>
        <v>1506000</v>
      </c>
    </row>
    <row r="39" spans="1:5" ht="20.100000000000001" customHeight="1" x14ac:dyDescent="0.15">
      <c r="A39" s="93"/>
      <c r="B39" s="149"/>
      <c r="C39" s="282" t="s">
        <v>191</v>
      </c>
      <c r="D39" s="283"/>
      <c r="E39" s="284"/>
    </row>
    <row r="40" spans="1:5" ht="20.100000000000001" customHeight="1" x14ac:dyDescent="0.15">
      <c r="A40" s="93"/>
      <c r="B40" s="147" t="s">
        <v>243</v>
      </c>
      <c r="C40" s="224">
        <v>3080000</v>
      </c>
      <c r="D40" s="90">
        <v>2680000</v>
      </c>
      <c r="E40" s="108">
        <f t="shared" ref="E40" si="9">D40-C40</f>
        <v>-400000</v>
      </c>
    </row>
    <row r="41" spans="1:5" ht="20.100000000000001" customHeight="1" x14ac:dyDescent="0.15">
      <c r="A41" s="231"/>
      <c r="B41" s="148"/>
      <c r="C41" s="271" t="s">
        <v>257</v>
      </c>
      <c r="D41" s="272"/>
      <c r="E41" s="273"/>
    </row>
    <row r="42" spans="1:5" ht="20.100000000000001" customHeight="1" x14ac:dyDescent="0.15">
      <c r="A42" s="93" t="s">
        <v>62</v>
      </c>
      <c r="B42" s="149" t="s">
        <v>63</v>
      </c>
      <c r="C42" s="96">
        <v>800000</v>
      </c>
      <c r="D42" s="215">
        <v>3000000</v>
      </c>
      <c r="E42" s="205">
        <f t="shared" ref="E42" si="10">D42-C42</f>
        <v>2200000</v>
      </c>
    </row>
    <row r="43" spans="1:5" ht="20.100000000000001" customHeight="1" x14ac:dyDescent="0.15">
      <c r="A43" s="93"/>
      <c r="B43" s="149"/>
      <c r="C43" s="274" t="s">
        <v>244</v>
      </c>
      <c r="D43" s="275"/>
      <c r="E43" s="276"/>
    </row>
    <row r="44" spans="1:5" ht="20.100000000000001" customHeight="1" x14ac:dyDescent="0.15">
      <c r="A44" s="93"/>
      <c r="B44" s="147" t="s">
        <v>64</v>
      </c>
      <c r="C44" s="224">
        <v>799000</v>
      </c>
      <c r="D44" s="90">
        <v>399000</v>
      </c>
      <c r="E44" s="108">
        <f t="shared" ref="E44" si="11">D44-C44</f>
        <v>-400000</v>
      </c>
    </row>
    <row r="45" spans="1:5" ht="20.100000000000001" customHeight="1" x14ac:dyDescent="0.15">
      <c r="A45" s="93"/>
      <c r="B45" s="149"/>
      <c r="C45" s="274" t="s">
        <v>245</v>
      </c>
      <c r="D45" s="275"/>
      <c r="E45" s="276"/>
    </row>
    <row r="46" spans="1:5" ht="20.100000000000001" customHeight="1" x14ac:dyDescent="0.15">
      <c r="A46" s="93"/>
      <c r="B46" s="147" t="s">
        <v>247</v>
      </c>
      <c r="C46" s="224">
        <v>400000</v>
      </c>
      <c r="D46" s="90">
        <v>100000</v>
      </c>
      <c r="E46" s="108">
        <f t="shared" ref="E46" si="12">D46-C46</f>
        <v>-300000</v>
      </c>
    </row>
    <row r="47" spans="1:5" ht="20.100000000000001" customHeight="1" x14ac:dyDescent="0.15">
      <c r="A47" s="93"/>
      <c r="B47" s="148"/>
      <c r="C47" s="274" t="s">
        <v>246</v>
      </c>
      <c r="D47" s="275"/>
      <c r="E47" s="276"/>
    </row>
    <row r="48" spans="1:5" ht="20.100000000000001" customHeight="1" x14ac:dyDescent="0.15">
      <c r="A48" s="93"/>
      <c r="B48" s="149" t="s">
        <v>129</v>
      </c>
      <c r="C48" s="224">
        <v>500000</v>
      </c>
      <c r="D48" s="90">
        <v>0</v>
      </c>
      <c r="E48" s="108">
        <f t="shared" ref="E48" si="13">D48-C48</f>
        <v>-500000</v>
      </c>
    </row>
    <row r="49" spans="1:5" ht="20.100000000000001" customHeight="1" x14ac:dyDescent="0.15">
      <c r="A49" s="93"/>
      <c r="B49" s="148"/>
      <c r="C49" s="271" t="s">
        <v>248</v>
      </c>
      <c r="D49" s="272"/>
      <c r="E49" s="273"/>
    </row>
    <row r="50" spans="1:5" ht="20.100000000000001" customHeight="1" x14ac:dyDescent="0.15">
      <c r="A50" s="93"/>
      <c r="B50" s="149" t="s">
        <v>68</v>
      </c>
      <c r="C50" s="224">
        <v>80000</v>
      </c>
      <c r="D50" s="90">
        <v>300000</v>
      </c>
      <c r="E50" s="108">
        <f t="shared" ref="E50" si="14">D50-C50</f>
        <v>220000</v>
      </c>
    </row>
    <row r="51" spans="1:5" ht="20.100000000000001" customHeight="1" x14ac:dyDescent="0.15">
      <c r="A51" s="231"/>
      <c r="B51" s="148"/>
      <c r="C51" s="274" t="s">
        <v>246</v>
      </c>
      <c r="D51" s="275"/>
      <c r="E51" s="276"/>
    </row>
    <row r="52" spans="1:5" ht="20.100000000000001" customHeight="1" x14ac:dyDescent="0.15">
      <c r="A52" s="93" t="s">
        <v>69</v>
      </c>
      <c r="B52" s="149" t="s">
        <v>70</v>
      </c>
      <c r="C52" s="224">
        <v>81094</v>
      </c>
      <c r="D52" s="90">
        <v>154044</v>
      </c>
      <c r="E52" s="108">
        <f t="shared" ref="E52" si="15">D52-C52</f>
        <v>72950</v>
      </c>
    </row>
    <row r="53" spans="1:5" ht="20.100000000000001" customHeight="1" x14ac:dyDescent="0.15">
      <c r="A53" s="93"/>
      <c r="B53" s="149"/>
      <c r="C53" s="274" t="s">
        <v>190</v>
      </c>
      <c r="D53" s="275"/>
      <c r="E53" s="276"/>
    </row>
    <row r="54" spans="1:5" ht="20.100000000000001" customHeight="1" x14ac:dyDescent="0.15">
      <c r="A54" s="93"/>
      <c r="B54" s="147" t="s">
        <v>140</v>
      </c>
      <c r="C54" s="100">
        <v>20000</v>
      </c>
      <c r="D54" s="135">
        <v>100000</v>
      </c>
      <c r="E54" s="109">
        <f t="shared" ref="E54" si="16">D54-C54</f>
        <v>80000</v>
      </c>
    </row>
    <row r="55" spans="1:5" ht="20.100000000000001" customHeight="1" x14ac:dyDescent="0.15">
      <c r="A55" s="110"/>
      <c r="B55" s="146"/>
      <c r="C55" s="277" t="s">
        <v>249</v>
      </c>
      <c r="D55" s="278"/>
      <c r="E55" s="279"/>
    </row>
    <row r="56" spans="1:5" ht="20.100000000000001" customHeight="1" x14ac:dyDescent="0.15">
      <c r="A56" s="221"/>
      <c r="B56" s="221"/>
      <c r="C56" s="222"/>
      <c r="D56" s="222"/>
      <c r="E56" s="223"/>
    </row>
    <row r="57" spans="1:5" ht="20.100000000000001" customHeight="1" x14ac:dyDescent="0.15"/>
    <row r="58" spans="1:5" ht="20.100000000000001" customHeight="1" x14ac:dyDescent="0.15"/>
    <row r="59" spans="1:5" ht="20.100000000000001" customHeight="1" x14ac:dyDescent="0.15"/>
    <row r="60" spans="1:5" ht="20.100000000000001" customHeight="1" x14ac:dyDescent="0.15"/>
    <row r="61" spans="1:5" ht="20.100000000000001" customHeight="1" x14ac:dyDescent="0.15"/>
    <row r="62" spans="1:5" ht="20.100000000000001" customHeight="1" x14ac:dyDescent="0.15"/>
    <row r="63" spans="1:5" ht="20.100000000000001" customHeight="1" x14ac:dyDescent="0.15"/>
    <row r="64" spans="1:5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3.1" customHeight="1" x14ac:dyDescent="0.15"/>
    <row r="69" ht="23.1" customHeight="1" x14ac:dyDescent="0.15"/>
    <row r="70" ht="23.1" customHeight="1" x14ac:dyDescent="0.15"/>
    <row r="71" ht="23.1" customHeight="1" x14ac:dyDescent="0.15"/>
    <row r="72" ht="23.1" customHeight="1" x14ac:dyDescent="0.15"/>
    <row r="73" ht="23.1" customHeight="1" x14ac:dyDescent="0.15"/>
    <row r="74" ht="23.1" customHeight="1" x14ac:dyDescent="0.15"/>
    <row r="75" ht="23.1" customHeight="1" x14ac:dyDescent="0.15"/>
  </sheetData>
  <mergeCells count="29">
    <mergeCell ref="A1:E1"/>
    <mergeCell ref="A2:B2"/>
    <mergeCell ref="A3:B3"/>
    <mergeCell ref="A15:B15"/>
    <mergeCell ref="C37:E37"/>
    <mergeCell ref="C7:E7"/>
    <mergeCell ref="A5:B5"/>
    <mergeCell ref="A17:B17"/>
    <mergeCell ref="C35:E35"/>
    <mergeCell ref="C21:E21"/>
    <mergeCell ref="C23:E23"/>
    <mergeCell ref="C19:E19"/>
    <mergeCell ref="C9:E9"/>
    <mergeCell ref="C13:E13"/>
    <mergeCell ref="C11:E11"/>
    <mergeCell ref="C25:E25"/>
    <mergeCell ref="C27:E27"/>
    <mergeCell ref="C43:E43"/>
    <mergeCell ref="C55:E55"/>
    <mergeCell ref="C33:E33"/>
    <mergeCell ref="C39:E39"/>
    <mergeCell ref="C29:E29"/>
    <mergeCell ref="C31:E31"/>
    <mergeCell ref="C41:E41"/>
    <mergeCell ref="C45:E45"/>
    <mergeCell ref="C51:E51"/>
    <mergeCell ref="C47:E47"/>
    <mergeCell ref="C49:E49"/>
    <mergeCell ref="C53:E53"/>
  </mergeCells>
  <phoneticPr fontId="2" type="noConversion"/>
  <printOptions horizontalCentered="1"/>
  <pageMargins left="0.39370078740157483" right="0.39370078740157483" top="0.78740157480314965" bottom="0.59055118110236227" header="0" footer="0"/>
  <pageSetup paperSize="9" firstPageNumber="10" orientation="portrait" useFirstPageNumber="1" r:id="rId1"/>
  <headerFooter alignWithMargins="0">
    <oddFooter>&amp;R참좋은기억학교(2021.11.30)</oddFooter>
  </headerFooter>
  <rowBreaks count="1" manualBreakCount="1">
    <brk id="3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8</vt:i4>
      </vt:variant>
    </vt:vector>
  </HeadingPairs>
  <TitlesOfParts>
    <vt:vector size="14" baseType="lpstr">
      <vt:lpstr>표지</vt:lpstr>
      <vt:lpstr>예산총칙</vt:lpstr>
      <vt:lpstr>결산추경예산총괄</vt:lpstr>
      <vt:lpstr>결산추경예산내역-세입</vt:lpstr>
      <vt:lpstr>결산추경예산내역-세출</vt:lpstr>
      <vt:lpstr>결산추경예산 증감사항</vt:lpstr>
      <vt:lpstr>'결산추경예산 증감사항'!Print_Area</vt:lpstr>
      <vt:lpstr>'결산추경예산내역-세입'!Print_Area</vt:lpstr>
      <vt:lpstr>'결산추경예산내역-세출'!Print_Area</vt:lpstr>
      <vt:lpstr>결산추경예산총괄!Print_Area</vt:lpstr>
      <vt:lpstr>표지!Print_Area</vt:lpstr>
      <vt:lpstr>'결산추경예산 증감사항'!Print_Titles</vt:lpstr>
      <vt:lpstr>'결산추경예산내역-세입'!Print_Titles</vt:lpstr>
      <vt:lpstr>'결산추경예산내역-세출'!Print_Titles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PC</cp:lastModifiedBy>
  <cp:lastPrinted>2021-11-30T10:43:31Z</cp:lastPrinted>
  <dcterms:created xsi:type="dcterms:W3CDTF">2016-12-07T07:13:09Z</dcterms:created>
  <dcterms:modified xsi:type="dcterms:W3CDTF">2021-12-03T05:45:45Z</dcterms:modified>
</cp:coreProperties>
</file>