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. 예산 및 추경\2024년 예산 및 추경\참좋은기억학교) 2024년 2차 추경안\"/>
    </mc:Choice>
  </mc:AlternateContent>
  <xr:revisionPtr revIDLastSave="0" documentId="13_ncr:1_{27076ED3-30A6-4C99-9B3F-7B8C088518F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표지" sheetId="5" r:id="rId1"/>
    <sheet name="예산총칙" sheetId="1" r:id="rId2"/>
    <sheet name="예산총괄" sheetId="2" r:id="rId3"/>
    <sheet name="예산내역-세입" sheetId="8" r:id="rId4"/>
    <sheet name="예산내역-세출" sheetId="7" r:id="rId5"/>
    <sheet name="예산 변경사유서" sheetId="6" r:id="rId6"/>
  </sheets>
  <definedNames>
    <definedName name="_xlnm.Print_Area" localSheetId="5">'예산 변경사유서'!$A$1:$E$23</definedName>
    <definedName name="_xlnm.Print_Area" localSheetId="3">'예산내역-세입'!$A$1:$I$41</definedName>
    <definedName name="_xlnm.Print_Area" localSheetId="4">'예산내역-세출'!$A$1:$I$157</definedName>
    <definedName name="_xlnm.Print_Area" localSheetId="2">예산총괄!$A$1:$E$24</definedName>
    <definedName name="_xlnm.Print_Area" localSheetId="1">예산총칙!$A$1:$B$18</definedName>
    <definedName name="_xlnm.Print_Area" localSheetId="0">표지!$A$1:$A$12</definedName>
    <definedName name="_xlnm.Print_Titles" localSheetId="5">'예산 변경사유서'!$1:$1</definedName>
    <definedName name="_xlnm.Print_Titles" localSheetId="3">'예산내역-세입'!$3:$5</definedName>
    <definedName name="_xlnm.Print_Titles" localSheetId="4">'예산내역-세출'!$3:$5</definedName>
    <definedName name="Z_29BE6789_D580_482F_AE13_9E62D887C1AB_.wvu.PrintArea" localSheetId="5" hidden="1">'예산 변경사유서'!$A$1:$E$13</definedName>
    <definedName name="Z_29BE6789_D580_482F_AE13_9E62D887C1AB_.wvu.PrintArea" localSheetId="3" hidden="1">'예산내역-세입'!$A$1:$I$41</definedName>
    <definedName name="Z_29BE6789_D580_482F_AE13_9E62D887C1AB_.wvu.PrintArea" localSheetId="4" hidden="1">'예산내역-세출'!$A$1:$I$157</definedName>
    <definedName name="Z_29BE6789_D580_482F_AE13_9E62D887C1AB_.wvu.PrintArea" localSheetId="2" hidden="1">예산총괄!$A$1:$E$24</definedName>
    <definedName name="Z_29BE6789_D580_482F_AE13_9E62D887C1AB_.wvu.PrintArea" localSheetId="0" hidden="1">표지!$A$1:$A$12</definedName>
    <definedName name="Z_29BE6789_D580_482F_AE13_9E62D887C1AB_.wvu.PrintTitles" localSheetId="5" hidden="1">'예산 변경사유서'!$9:$10</definedName>
    <definedName name="Z_29BE6789_D580_482F_AE13_9E62D887C1AB_.wvu.PrintTitles" localSheetId="3" hidden="1">'예산내역-세입'!$3:$5</definedName>
    <definedName name="Z_29BE6789_D580_482F_AE13_9E62D887C1AB_.wvu.PrintTitles" localSheetId="4" hidden="1">'예산내역-세출'!$3:$5</definedName>
  </definedNames>
  <calcPr calcId="191029"/>
  <customWorkbookViews>
    <customWorkbookView name="PC - 사용자 보기" guid="{29BE6789-D580-482F-AE13-9E62D887C1AB}" mergeInterval="0" personalView="1" maximized="1" windowWidth="1596" windowHeight="607" activeSheetId="7"/>
  </customWorkbookViews>
</workbook>
</file>

<file path=xl/calcChain.xml><?xml version="1.0" encoding="utf-8"?>
<calcChain xmlns="http://schemas.openxmlformats.org/spreadsheetml/2006/main">
  <c r="I43" i="7" l="1"/>
  <c r="I9" i="7"/>
  <c r="E6" i="2" l="1"/>
  <c r="E44" i="7"/>
  <c r="I48" i="7"/>
  <c r="E154" i="7"/>
  <c r="E150" i="7"/>
  <c r="E147" i="7"/>
  <c r="E141" i="7"/>
  <c r="E139" i="7"/>
  <c r="E136" i="7"/>
  <c r="E123" i="7"/>
  <c r="E119" i="7"/>
  <c r="E117" i="7"/>
  <c r="E110" i="7"/>
  <c r="E107" i="7"/>
  <c r="E105" i="7"/>
  <c r="E103" i="7"/>
  <c r="E100" i="7"/>
  <c r="E93" i="7"/>
  <c r="E87" i="7"/>
  <c r="E81" i="7"/>
  <c r="E78" i="7"/>
  <c r="E72" i="7"/>
  <c r="E69" i="7"/>
  <c r="E61" i="7"/>
  <c r="E59" i="7"/>
  <c r="E56" i="7"/>
  <c r="E54" i="7"/>
  <c r="E50" i="7"/>
  <c r="E36" i="7"/>
  <c r="E27" i="7"/>
  <c r="I113" i="7"/>
  <c r="I34" i="8"/>
  <c r="I22" i="7"/>
  <c r="E9" i="7"/>
  <c r="I16" i="7"/>
  <c r="I37" i="7" l="1"/>
  <c r="I17" i="7"/>
  <c r="I10" i="8"/>
  <c r="I126" i="7"/>
  <c r="I132" i="7"/>
  <c r="I130" i="7"/>
  <c r="I137" i="7"/>
  <c r="I46" i="7"/>
  <c r="I33" i="7" l="1"/>
  <c r="I25" i="7" l="1"/>
  <c r="I106" i="7" l="1"/>
  <c r="F105" i="7"/>
  <c r="G105" i="7" s="1"/>
  <c r="D4" i="8" l="1"/>
  <c r="E4" i="8"/>
  <c r="A22" i="6"/>
  <c r="I92" i="7" l="1"/>
  <c r="F13" i="8" l="1"/>
  <c r="I62" i="7" l="1"/>
  <c r="I80" i="7"/>
  <c r="I145" i="7"/>
  <c r="I63" i="7" l="1"/>
  <c r="I91" i="7"/>
  <c r="I96" i="7"/>
  <c r="I101" i="7"/>
  <c r="I75" i="7" l="1"/>
  <c r="I74" i="7"/>
  <c r="I109" i="7"/>
  <c r="I134" i="7"/>
  <c r="I16" i="8"/>
  <c r="I39" i="8"/>
  <c r="I41" i="8"/>
  <c r="I40" i="8"/>
  <c r="I30" i="8"/>
  <c r="I128" i="7"/>
  <c r="I129" i="7"/>
  <c r="E37" i="8" l="1"/>
  <c r="I53" i="7" l="1"/>
  <c r="I31" i="7"/>
  <c r="I29" i="7"/>
  <c r="I20" i="7"/>
  <c r="I18" i="7"/>
  <c r="I12" i="7"/>
  <c r="I26" i="7"/>
  <c r="I24" i="7"/>
  <c r="I23" i="7"/>
  <c r="I21" i="7"/>
  <c r="I19" i="7"/>
  <c r="I15" i="7"/>
  <c r="I14" i="7"/>
  <c r="I13" i="7"/>
  <c r="I11" i="7"/>
  <c r="I10" i="7"/>
  <c r="I125" i="7" l="1"/>
  <c r="I26" i="8"/>
  <c r="F9" i="7" l="1"/>
  <c r="C5" i="6"/>
  <c r="F25" i="8" l="1"/>
  <c r="G25" i="8" s="1"/>
  <c r="E24" i="8"/>
  <c r="E23" i="8"/>
  <c r="I55" i="7" l="1"/>
  <c r="I35" i="7"/>
  <c r="F54" i="7" l="1"/>
  <c r="G54" i="7" s="1"/>
  <c r="E20" i="8"/>
  <c r="F20" i="8" s="1"/>
  <c r="I116" i="7" l="1"/>
  <c r="I90" i="7"/>
  <c r="I52" i="7"/>
  <c r="C8" i="6" l="1"/>
  <c r="I84" i="7" l="1"/>
  <c r="I57" i="7" l="1"/>
  <c r="I135" i="7"/>
  <c r="I142" i="7" l="1"/>
  <c r="I133" i="7"/>
  <c r="F154" i="7" l="1"/>
  <c r="I60" i="7"/>
  <c r="I95" i="7"/>
  <c r="I33" i="8"/>
  <c r="I47" i="7"/>
  <c r="I89" i="7"/>
  <c r="I40" i="7" l="1"/>
  <c r="I41" i="7" s="1"/>
  <c r="I39" i="7"/>
  <c r="I42" i="7"/>
  <c r="F27" i="7"/>
  <c r="I140" i="7"/>
  <c r="I51" i="7"/>
  <c r="E49" i="7" s="1"/>
  <c r="I148" i="7"/>
  <c r="I131" i="7"/>
  <c r="I127" i="7"/>
  <c r="I124" i="7"/>
  <c r="I121" i="7"/>
  <c r="I120" i="7"/>
  <c r="I115" i="7"/>
  <c r="I114" i="7"/>
  <c r="I112" i="7"/>
  <c r="I111" i="7"/>
  <c r="D12" i="6"/>
  <c r="C12" i="6"/>
  <c r="D4" i="6"/>
  <c r="C4" i="6"/>
  <c r="D4" i="7"/>
  <c r="E4" i="7"/>
  <c r="E38" i="7" l="1"/>
  <c r="I68" i="7"/>
  <c r="I122" i="7"/>
  <c r="I88" i="7"/>
  <c r="F87" i="7" l="1"/>
  <c r="F119" i="7" l="1"/>
  <c r="I22" i="8"/>
  <c r="G119" i="7" l="1"/>
  <c r="C18" i="6" l="1"/>
  <c r="C22" i="6" l="1"/>
  <c r="B22" i="6"/>
  <c r="B18" i="6" l="1"/>
  <c r="A18" i="6"/>
  <c r="C16" i="6"/>
  <c r="B16" i="6"/>
  <c r="A16" i="6"/>
  <c r="C14" i="6"/>
  <c r="B14" i="6"/>
  <c r="A14" i="6"/>
  <c r="E21" i="8"/>
  <c r="E19" i="8" s="1"/>
  <c r="B8" i="6"/>
  <c r="I83" i="7"/>
  <c r="I82" i="7" l="1"/>
  <c r="D16" i="6" l="1"/>
  <c r="I97" i="7" l="1"/>
  <c r="I94" i="7"/>
  <c r="I102" i="7"/>
  <c r="E86" i="7" l="1"/>
  <c r="E85" i="7" s="1"/>
  <c r="C6" i="6"/>
  <c r="B6" i="6"/>
  <c r="I67" i="7" l="1"/>
  <c r="I157" i="7" l="1"/>
  <c r="E156" i="7" s="1"/>
  <c r="E153" i="7" s="1"/>
  <c r="E152" i="7" s="1"/>
  <c r="I32" i="8"/>
  <c r="E7" i="8" l="1"/>
  <c r="E9" i="8" l="1"/>
  <c r="D6" i="6" s="1"/>
  <c r="E6" i="6" s="1"/>
  <c r="I71" i="7" l="1"/>
  <c r="I64" i="7"/>
  <c r="I149" i="7"/>
  <c r="D18" i="6" l="1"/>
  <c r="E8" i="7"/>
  <c r="D6" i="2"/>
  <c r="F151" i="7"/>
  <c r="I77" i="7" l="1"/>
  <c r="I76" i="7"/>
  <c r="I146" i="7" l="1"/>
  <c r="I17" i="8" l="1"/>
  <c r="E15" i="8" l="1"/>
  <c r="I104" i="7" l="1"/>
  <c r="E99" i="7" s="1"/>
  <c r="I118" i="7" l="1"/>
  <c r="E12" i="8"/>
  <c r="E18" i="8" l="1"/>
  <c r="D8" i="2" s="1"/>
  <c r="C13" i="6" l="1"/>
  <c r="I143" i="7" l="1"/>
  <c r="I79" i="7" l="1"/>
  <c r="D9" i="2"/>
  <c r="E31" i="8" l="1"/>
  <c r="D8" i="6" s="1"/>
  <c r="E8" i="6" s="1"/>
  <c r="I144" i="7" l="1"/>
  <c r="F38" i="7" l="1"/>
  <c r="I45" i="7"/>
  <c r="I66" i="7"/>
  <c r="I65" i="7"/>
  <c r="I70" i="7"/>
  <c r="I73" i="7"/>
  <c r="I151" i="7"/>
  <c r="E138" i="7" s="1"/>
  <c r="E58" i="7" l="1"/>
  <c r="E18" i="6"/>
  <c r="G38" i="7"/>
  <c r="F36" i="7"/>
  <c r="E16" i="6" l="1"/>
  <c r="G36" i="7"/>
  <c r="D23" i="2"/>
  <c r="D14" i="6"/>
  <c r="G27" i="7" l="1"/>
  <c r="D17" i="2"/>
  <c r="F37" i="8"/>
  <c r="E36" i="8"/>
  <c r="E35" i="8" s="1"/>
  <c r="D11" i="2" s="1"/>
  <c r="E29" i="8"/>
  <c r="F24" i="8"/>
  <c r="G24" i="8" s="1"/>
  <c r="F23" i="8"/>
  <c r="G23" i="8" s="1"/>
  <c r="F21" i="8"/>
  <c r="G21" i="8" s="1"/>
  <c r="F19" i="8"/>
  <c r="G19" i="8" s="1"/>
  <c r="F18" i="8"/>
  <c r="G18" i="8" s="1"/>
  <c r="F14" i="8"/>
  <c r="D22" i="6"/>
  <c r="E108" i="7"/>
  <c r="D22" i="2" l="1"/>
  <c r="G37" i="8"/>
  <c r="E14" i="6"/>
  <c r="G9" i="7"/>
  <c r="D18" i="2"/>
  <c r="D21" i="2"/>
  <c r="F110" i="7"/>
  <c r="F117" i="7"/>
  <c r="G117" i="7" s="1"/>
  <c r="F123" i="7"/>
  <c r="F44" i="7"/>
  <c r="E28" i="8"/>
  <c r="E27" i="8" s="1"/>
  <c r="F29" i="8"/>
  <c r="G29" i="8" s="1"/>
  <c r="F15" i="8"/>
  <c r="F9" i="8"/>
  <c r="G9" i="8" s="1"/>
  <c r="E8" i="8"/>
  <c r="F36" i="8"/>
  <c r="G36" i="8" s="1"/>
  <c r="F56" i="7"/>
  <c r="F103" i="7"/>
  <c r="G103" i="7" s="1"/>
  <c r="F139" i="7"/>
  <c r="F50" i="7"/>
  <c r="F108" i="7"/>
  <c r="F136" i="7"/>
  <c r="F150" i="7"/>
  <c r="G150" i="7" s="1"/>
  <c r="F156" i="7"/>
  <c r="G156" i="7" s="1"/>
  <c r="F59" i="7"/>
  <c r="F100" i="7"/>
  <c r="G136" i="7" l="1"/>
  <c r="G59" i="7"/>
  <c r="G108" i="7"/>
  <c r="G139" i="7"/>
  <c r="G110" i="7"/>
  <c r="G44" i="7"/>
  <c r="G50" i="7"/>
  <c r="G87" i="7"/>
  <c r="G123" i="7"/>
  <c r="G56" i="7"/>
  <c r="G100" i="7"/>
  <c r="E22" i="6"/>
  <c r="G154" i="7"/>
  <c r="G15" i="8"/>
  <c r="D10" i="2"/>
  <c r="D24" i="2"/>
  <c r="D20" i="2"/>
  <c r="F152" i="7"/>
  <c r="G152" i="7" s="1"/>
  <c r="F153" i="7"/>
  <c r="G153" i="7" s="1"/>
  <c r="F27" i="8"/>
  <c r="G27" i="8" s="1"/>
  <c r="F35" i="8"/>
  <c r="G35" i="8" s="1"/>
  <c r="F78" i="7"/>
  <c r="F72" i="7"/>
  <c r="F49" i="7"/>
  <c r="G49" i="7" s="1"/>
  <c r="E18" i="2"/>
  <c r="E98" i="7"/>
  <c r="F93" i="7"/>
  <c r="F61" i="7"/>
  <c r="F69" i="7"/>
  <c r="G69" i="7" s="1"/>
  <c r="F147" i="7"/>
  <c r="G147" i="7" s="1"/>
  <c r="F31" i="8"/>
  <c r="G31" i="8" s="1"/>
  <c r="F141" i="7"/>
  <c r="F81" i="7"/>
  <c r="F8" i="8"/>
  <c r="G8" i="8" s="1"/>
  <c r="E11" i="8"/>
  <c r="D7" i="2" s="1"/>
  <c r="F12" i="8"/>
  <c r="G12" i="8" s="1"/>
  <c r="F28" i="8"/>
  <c r="G28" i="8" s="1"/>
  <c r="F99" i="7"/>
  <c r="G72" i="7" l="1"/>
  <c r="G78" i="7"/>
  <c r="G61" i="7"/>
  <c r="G141" i="7"/>
  <c r="G93" i="7"/>
  <c r="G98" i="7"/>
  <c r="G99" i="7"/>
  <c r="G81" i="7"/>
  <c r="E6" i="8"/>
  <c r="D5" i="2"/>
  <c r="E7" i="7"/>
  <c r="D19" i="2"/>
  <c r="D16" i="2" s="1"/>
  <c r="E16" i="2" s="1"/>
  <c r="F138" i="7"/>
  <c r="G138" i="7" s="1"/>
  <c r="F86" i="7"/>
  <c r="G86" i="7" s="1"/>
  <c r="F107" i="7"/>
  <c r="G107" i="7" s="1"/>
  <c r="F8" i="7"/>
  <c r="G8" i="7" s="1"/>
  <c r="F58" i="7"/>
  <c r="G58" i="7" s="1"/>
  <c r="F7" i="8"/>
  <c r="G7" i="8" s="1"/>
  <c r="F11" i="8"/>
  <c r="G11" i="8" s="1"/>
  <c r="E6" i="7" l="1"/>
  <c r="D5" i="6"/>
  <c r="E5" i="6" s="1"/>
  <c r="F85" i="7"/>
  <c r="G85" i="7" s="1"/>
  <c r="F98" i="7"/>
  <c r="F7" i="7"/>
  <c r="G7" i="7" s="1"/>
  <c r="F6" i="8"/>
  <c r="G6" i="8" s="1"/>
  <c r="D13" i="6" l="1"/>
  <c r="E13" i="6" s="1"/>
  <c r="F6" i="7"/>
  <c r="G6" i="7" s="1"/>
  <c r="E22" i="2" l="1"/>
  <c r="E20" i="2"/>
  <c r="E23" i="2" l="1"/>
  <c r="E19" i="2" l="1"/>
  <c r="E21" i="2"/>
  <c r="E24" i="2" l="1"/>
  <c r="E17" i="2"/>
  <c r="E11" i="2"/>
  <c r="E10" i="2"/>
  <c r="E9" i="2"/>
  <c r="E8" i="2"/>
  <c r="E7" i="2"/>
  <c r="E5" i="2" l="1"/>
</calcChain>
</file>

<file path=xl/sharedStrings.xml><?xml version="1.0" encoding="utf-8"?>
<sst xmlns="http://schemas.openxmlformats.org/spreadsheetml/2006/main" count="356" uniqueCount="264">
  <si>
    <t>사회복지법인 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</si>
  <si>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</si>
  <si>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</si>
  <si>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</si>
  <si>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</si>
  <si>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</si>
  <si>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</si>
  <si>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</si>
  <si>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</si>
  <si>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</si>
  <si>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계</t>
    <phoneticPr fontId="2" type="noConversion"/>
  </si>
  <si>
    <t xml:space="preserve"> 예  산  총  칙</t>
    <phoneticPr fontId="2" type="noConversion"/>
  </si>
  <si>
    <t xml:space="preserve">                (단위: 원)</t>
    <phoneticPr fontId="2" type="noConversion"/>
  </si>
  <si>
    <t>과목</t>
    <phoneticPr fontId="2" type="noConversion"/>
  </si>
  <si>
    <t>산출근거</t>
    <phoneticPr fontId="2" type="noConversion"/>
  </si>
  <si>
    <t xml:space="preserve">관 </t>
    <phoneticPr fontId="2" type="noConversion"/>
  </si>
  <si>
    <t xml:space="preserve">항 </t>
    <phoneticPr fontId="2" type="noConversion"/>
  </si>
  <si>
    <t>목</t>
    <phoneticPr fontId="2" type="noConversion"/>
  </si>
  <si>
    <t>%</t>
    <phoneticPr fontId="2" type="noConversion"/>
  </si>
  <si>
    <t xml:space="preserve">이월금 </t>
    <phoneticPr fontId="2" type="noConversion"/>
  </si>
  <si>
    <t xml:space="preserve">전년도이월금 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</si>
  <si>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</si>
  <si>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</si>
  <si>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</si>
  <si>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</si>
  <si>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</si>
  <si>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</si>
  <si>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입소자부담금수입</t>
    <phoneticPr fontId="2" type="noConversion"/>
  </si>
  <si>
    <t>입소비용수입</t>
    <phoneticPr fontId="2" type="noConversion"/>
  </si>
  <si>
    <t>보조금수입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</si>
  <si>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</si>
  <si>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</si>
  <si>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</si>
  <si>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기타잡수입</t>
    <phoneticPr fontId="2" type="noConversion"/>
  </si>
  <si>
    <t>전입금</t>
    <phoneticPr fontId="2" type="noConversion"/>
  </si>
  <si>
    <t>경상보조금수입</t>
    <phoneticPr fontId="2" type="noConversion"/>
  </si>
  <si>
    <t>급여</t>
    <phoneticPr fontId="2" type="noConversion"/>
  </si>
  <si>
    <t>급여(기본급)</t>
    <phoneticPr fontId="2" type="noConversion"/>
  </si>
  <si>
    <t>제수당</t>
    <phoneticPr fontId="2" type="noConversion"/>
  </si>
  <si>
    <t>사회보험부담금</t>
    <phoneticPr fontId="2" type="noConversion"/>
  </si>
  <si>
    <t>사회보험부담비용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</si>
  <si>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</si>
  <si>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</si>
  <si>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</si>
  <si>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</si>
  <si>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</si>
  <si>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</si>
  <si>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</si>
  <si>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</si>
  <si>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</si>
  <si>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</si>
  <si>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</si>
  <si>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사업비</t>
    <phoneticPr fontId="2" type="noConversion"/>
  </si>
  <si>
    <t>생계비</t>
    <phoneticPr fontId="2" type="noConversion"/>
  </si>
  <si>
    <t>수용기관경비</t>
    <phoneticPr fontId="2" type="noConversion"/>
  </si>
  <si>
    <t>기능회복훈련사업비</t>
    <phoneticPr fontId="2" type="noConversion"/>
  </si>
  <si>
    <t>간호 및 처치사업비</t>
    <phoneticPr fontId="2" type="noConversion"/>
  </si>
  <si>
    <t>일반사업비</t>
    <phoneticPr fontId="2" type="noConversion"/>
  </si>
  <si>
    <t>홍보출판사업비</t>
    <phoneticPr fontId="2" type="noConversion"/>
  </si>
  <si>
    <t>직원연수교육비</t>
    <phoneticPr fontId="2" type="noConversion"/>
  </si>
  <si>
    <t>홍보출판비</t>
    <phoneticPr fontId="2" type="noConversion"/>
  </si>
  <si>
    <t>직원연수 및 교육비</t>
    <phoneticPr fontId="2" type="noConversion"/>
  </si>
  <si>
    <t>자원봉사자 및 후원자 관리비</t>
    <phoneticPr fontId="2" type="noConversion"/>
  </si>
  <si>
    <t>기타사업비</t>
    <phoneticPr fontId="2" type="noConversion"/>
  </si>
  <si>
    <t>예비비 및 기타</t>
    <phoneticPr fontId="2" type="noConversion"/>
  </si>
  <si>
    <t>예비비</t>
    <phoneticPr fontId="2" type="noConversion"/>
  </si>
  <si>
    <t>퇴직금 및 퇴직적립금</t>
    <phoneticPr fontId="2" type="noConversion"/>
  </si>
  <si>
    <t>*방범서비스료: 77,000원 x 12회</t>
    <phoneticPr fontId="2" type="noConversion"/>
  </si>
  <si>
    <t>봉사자 및 후원자 관리비</t>
    <phoneticPr fontId="2" type="noConversion"/>
  </si>
  <si>
    <t>참좋은기억학교</t>
    <phoneticPr fontId="2" type="noConversion"/>
  </si>
  <si>
    <t>입소비용수입</t>
    <phoneticPr fontId="2" type="noConversion"/>
  </si>
  <si>
    <t>보 조 금 수 입</t>
    <phoneticPr fontId="2" type="noConversion"/>
  </si>
  <si>
    <t>보 조 금 수 입</t>
    <phoneticPr fontId="2" type="noConversion"/>
  </si>
  <si>
    <t>후 원 금 수 입</t>
    <phoneticPr fontId="2" type="noConversion"/>
  </si>
  <si>
    <t>후 원 금 수 입</t>
    <phoneticPr fontId="2" type="noConversion"/>
  </si>
  <si>
    <t>전     입     금</t>
    <phoneticPr fontId="2" type="noConversion"/>
  </si>
  <si>
    <t>잡     수     입</t>
    <phoneticPr fontId="2" type="noConversion"/>
  </si>
  <si>
    <t>이     월     금</t>
    <phoneticPr fontId="2" type="noConversion"/>
  </si>
  <si>
    <t>(단위 : 원)</t>
    <phoneticPr fontId="2" type="noConversion"/>
  </si>
  <si>
    <t>사     무     비</t>
    <phoneticPr fontId="5" type="noConversion"/>
  </si>
  <si>
    <t>인     건     비</t>
    <phoneticPr fontId="5" type="noConversion"/>
  </si>
  <si>
    <t>운     영     비</t>
    <phoneticPr fontId="2" type="noConversion"/>
  </si>
  <si>
    <t>업 무 추 진 비</t>
    <phoneticPr fontId="2" type="noConversion"/>
  </si>
  <si>
    <t>재 산 조 성 비</t>
    <phoneticPr fontId="2" type="noConversion"/>
  </si>
  <si>
    <t>시     설     비</t>
    <phoneticPr fontId="2" type="noConversion"/>
  </si>
  <si>
    <t>사     업     비</t>
    <phoneticPr fontId="2" type="noConversion"/>
  </si>
  <si>
    <t>예비비 및 기타</t>
    <phoneticPr fontId="2" type="noConversion"/>
  </si>
  <si>
    <t>일 반 사 업 비</t>
    <phoneticPr fontId="2" type="noConversion"/>
  </si>
  <si>
    <t>증감(B-A)</t>
    <phoneticPr fontId="2" type="noConversion"/>
  </si>
  <si>
    <t>기타예금이자수입</t>
    <phoneticPr fontId="2" type="noConversion"/>
  </si>
  <si>
    <t>6. 보편적으로 발생하는 지출에 있어서는 세출예산에도 불구하고 초과 집행하고 차기 이사회에서</t>
    <phoneticPr fontId="2" type="noConversion"/>
  </si>
  <si>
    <t xml:space="preserve">    있다.</t>
    <phoneticPr fontId="2" type="noConversion"/>
  </si>
  <si>
    <t>시설장비유지비</t>
    <phoneticPr fontId="2" type="noConversion"/>
  </si>
  <si>
    <t>4. 사업수입(본인부담금), 국시비보조금, 후원금 등의 세입이 감소할 경우 기존사업을 축소할 수 있다.</t>
    <phoneticPr fontId="2" type="noConversion"/>
  </si>
  <si>
    <t xml:space="preserve">   추가경정 예산을 승인 받을 수 있다.</t>
    <phoneticPr fontId="2" type="noConversion"/>
  </si>
  <si>
    <t>재활프로그램사업비</t>
    <phoneticPr fontId="2" type="noConversion"/>
  </si>
  <si>
    <t>일상생활지원사업비</t>
    <phoneticPr fontId="2" type="noConversion"/>
  </si>
  <si>
    <t>특별사업지원사업비</t>
    <phoneticPr fontId="2" type="noConversion"/>
  </si>
  <si>
    <t>간호및처치사업비</t>
    <phoneticPr fontId="2" type="noConversion"/>
  </si>
  <si>
    <t>상담사업비</t>
    <phoneticPr fontId="2" type="noConversion"/>
  </si>
  <si>
    <t xml:space="preserve">5. 사업수입(본인부담금),국시비보조금, 후원금등의 세입이 증가 할 경우 세입세출예산을 초과할  </t>
    <phoneticPr fontId="2" type="noConversion"/>
  </si>
  <si>
    <t xml:space="preserve">   수 있다.</t>
    <phoneticPr fontId="2" type="noConversion"/>
  </si>
  <si>
    <t>7. 세출예산에서 초과지출이 발생할 경우에 동일관 내의 목간전용으로 부족한 예산을 집행할 수가</t>
    <phoneticPr fontId="2" type="noConversion"/>
  </si>
  <si>
    <t>*신원보증보험: 50,000원 x 2명</t>
    <phoneticPr fontId="2" type="noConversion"/>
  </si>
  <si>
    <t>*기타수용비 및 인쇄비: 300,000원 x 4회</t>
    <phoneticPr fontId="2" type="noConversion"/>
  </si>
  <si>
    <t>전년도이월금</t>
    <phoneticPr fontId="2" type="noConversion"/>
  </si>
  <si>
    <t>시군구보조금수입</t>
    <phoneticPr fontId="2" type="noConversion"/>
  </si>
  <si>
    <t>국고보조금수입</t>
    <phoneticPr fontId="2" type="noConversion"/>
  </si>
  <si>
    <t>국고보조금</t>
    <phoneticPr fontId="2" type="noConversion"/>
  </si>
  <si>
    <t>시도보조금</t>
    <phoneticPr fontId="2" type="noConversion"/>
  </si>
  <si>
    <t>시군구보조금</t>
    <phoneticPr fontId="2" type="noConversion"/>
  </si>
  <si>
    <t>*인터넷 사용료 및 전화료: 70,000원 x 12월</t>
    <phoneticPr fontId="2" type="noConversion"/>
  </si>
  <si>
    <t>*시설건물관리비: 500,000원 x 12회</t>
    <phoneticPr fontId="2" type="noConversion"/>
  </si>
  <si>
    <t>반환금</t>
    <phoneticPr fontId="2" type="noConversion"/>
  </si>
  <si>
    <t>■ 사업장명 : 참좋은기억학교</t>
  </si>
  <si>
    <t>○ 세입의 주요내용</t>
    <phoneticPr fontId="2" type="noConversion"/>
  </si>
  <si>
    <t xml:space="preserve">  (단위: 원)</t>
    <phoneticPr fontId="2" type="noConversion"/>
  </si>
  <si>
    <t xml:space="preserve">○ 세출의 주요내용 </t>
    <phoneticPr fontId="2" type="noConversion"/>
  </si>
  <si>
    <t>3. 본 예산은 사회복지법인 재무회계규칙 제 2장 예산과 결산에 의거 편성하며 집행한다.</t>
    <phoneticPr fontId="2" type="noConversion"/>
  </si>
  <si>
    <t>*기타사업 및 교구구입비: 100,000원 x 2회</t>
    <phoneticPr fontId="2" type="noConversion"/>
  </si>
  <si>
    <t>*송영차량구입 월할부금(쉐보레 스파크): 238,333원 x 12회</t>
    <phoneticPr fontId="2" type="noConversion"/>
  </si>
  <si>
    <t xml:space="preserve"> </t>
    <phoneticPr fontId="2" type="noConversion"/>
  </si>
  <si>
    <t>*사무기기(데스크탑 등) 렌탈이용료: 204,600원 x 12회</t>
    <phoneticPr fontId="2" type="noConversion"/>
  </si>
  <si>
    <t>*사회복지사 보수교육: 28,000원 x 6명</t>
    <phoneticPr fontId="2" type="noConversion"/>
  </si>
  <si>
    <t>*자동차세 外: 80,000원 x 3대</t>
    <phoneticPr fontId="2" type="noConversion"/>
  </si>
  <si>
    <t>*유류대: 600,000원 x 12월(송영차량 3대)</t>
    <phoneticPr fontId="2" type="noConversion"/>
  </si>
  <si>
    <t>*치매예방체조 外: 50,000원 x 4회</t>
    <phoneticPr fontId="2" type="noConversion"/>
  </si>
  <si>
    <t>*수용기관경비: 100,000원 x 2회</t>
    <phoneticPr fontId="2" type="noConversion"/>
  </si>
  <si>
    <t>*시군구보조금(관리운영비): 5,500,000원 x 4분기</t>
    <phoneticPr fontId="2" type="noConversion"/>
  </si>
  <si>
    <t>시도보조금수입</t>
    <phoneticPr fontId="2" type="noConversion"/>
  </si>
  <si>
    <t>*기타 교육 등: 30,000원 x 4회</t>
    <phoneticPr fontId="2" type="noConversion"/>
  </si>
  <si>
    <t>*차량보험료: 1,000,000원 x 3대</t>
    <phoneticPr fontId="2" type="noConversion"/>
  </si>
  <si>
    <t>*자원봉사자 관리비: 200,000원 x 4회</t>
    <phoneticPr fontId="2" type="noConversion"/>
  </si>
  <si>
    <t>*전기,도시가스,상하수도 등: 500,000원 x 12월</t>
    <phoneticPr fontId="2" type="noConversion"/>
  </si>
  <si>
    <t>*간호조무사 보수교육: 35,000원 x 1명</t>
    <phoneticPr fontId="2" type="noConversion"/>
  </si>
  <si>
    <t>*반환금(보조금예금이자수입): 20,000원 x 1회</t>
    <phoneticPr fontId="2" type="noConversion"/>
  </si>
  <si>
    <t>*잡수입(직원식대): 500,000원 x 12월</t>
    <phoneticPr fontId="2" type="noConversion"/>
  </si>
  <si>
    <t>*냉난방기 유지관리비 外: 100,000원 x 1회</t>
    <phoneticPr fontId="2" type="noConversion"/>
  </si>
  <si>
    <t>*직원식대비: 500,000원 x 12월</t>
    <phoneticPr fontId="2" type="noConversion"/>
  </si>
  <si>
    <t>*직원상용피복비: 100,000원 x 9명</t>
    <phoneticPr fontId="2" type="noConversion"/>
  </si>
  <si>
    <t>*기관운영비: 100,000원 x 4분기</t>
    <phoneticPr fontId="2" type="noConversion"/>
  </si>
  <si>
    <t>*노후비품 교체 자산취득비: 300,000원 x 4회</t>
    <phoneticPr fontId="2" type="noConversion"/>
  </si>
  <si>
    <t>*시사교실: 51,000원 x 4회</t>
    <phoneticPr fontId="2" type="noConversion"/>
  </si>
  <si>
    <t>*홍보출판비: 1,000,000원 x 4회</t>
    <phoneticPr fontId="2" type="noConversion"/>
  </si>
  <si>
    <t xml:space="preserve">*기관 소독 및 방역비: 30,000원 x 6회 </t>
    <phoneticPr fontId="2" type="noConversion"/>
  </si>
  <si>
    <t>액수(C)</t>
    <phoneticPr fontId="2" type="noConversion"/>
  </si>
  <si>
    <t>*원예교실: 100,000원 x 12회</t>
    <phoneticPr fontId="2" type="noConversion"/>
  </si>
  <si>
    <t>*미술교실: 100,000원 x 6회</t>
    <phoneticPr fontId="2" type="noConversion"/>
  </si>
  <si>
    <t>*놀이교실: 50,000원 x 2회</t>
    <phoneticPr fontId="2" type="noConversion"/>
  </si>
  <si>
    <t>*문학교실: 20,000원 x 2회</t>
    <phoneticPr fontId="2" type="noConversion"/>
  </si>
  <si>
    <t>*뷰티교실: 50,000원 x 6회</t>
    <phoneticPr fontId="2" type="noConversion"/>
  </si>
  <si>
    <t>*생신잔치: 50,000원 x 12회</t>
    <phoneticPr fontId="2" type="noConversion"/>
  </si>
  <si>
    <t>*나들이행사(소규모): 150,000원 x 2회</t>
    <phoneticPr fontId="2" type="noConversion"/>
  </si>
  <si>
    <t>*동지행사: 150,000원 x 1회</t>
    <phoneticPr fontId="2" type="noConversion"/>
  </si>
  <si>
    <t>*노래자랑행사: 400,000원 x 4회</t>
    <phoneticPr fontId="2" type="noConversion"/>
  </si>
  <si>
    <t>*명절선물 및 포상 등: 300,000원 x 2회</t>
    <phoneticPr fontId="2" type="noConversion"/>
  </si>
  <si>
    <t>기능회복지원사업비</t>
    <phoneticPr fontId="2" type="noConversion"/>
  </si>
  <si>
    <t>*주방비품 교체 자산취득비: 1,800,000원 x 2회</t>
    <phoneticPr fontId="2" type="noConversion"/>
  </si>
  <si>
    <t>*종사자 독감예방주사: 30,000원 x 9회</t>
    <phoneticPr fontId="2" type="noConversion"/>
  </si>
  <si>
    <t>■ 사업장명: 참좋은기억학교</t>
  </si>
  <si>
    <t>자격수당: 50,000원 x 12회 x 2명</t>
  </si>
  <si>
    <t>*기타 시설장비유지비: 100,000원 x 1회</t>
  </si>
  <si>
    <t>*김장비용: 2,500,000원 x 1회</t>
  </si>
  <si>
    <t>*자격수당: 1,200,000원</t>
    <phoneticPr fontId="2" type="noConversion"/>
  </si>
  <si>
    <t>*기타잡수입(사회복지실습 外): 150,000원 x 12회</t>
    <phoneticPr fontId="2" type="noConversion"/>
  </si>
  <si>
    <t>*주방 닥트청소 및 유지관리비: 1,500,000원 x 1회</t>
    <phoneticPr fontId="2" type="noConversion"/>
  </si>
  <si>
    <t>*여비: 50,000원 x 6회</t>
    <phoneticPr fontId="2" type="noConversion"/>
  </si>
  <si>
    <t>*기억학교협회 감사의 날: 600,000원 x 1회</t>
    <phoneticPr fontId="2" type="noConversion"/>
  </si>
  <si>
    <t>*특별행사PG: 150,000원 x 2회</t>
    <phoneticPr fontId="2" type="noConversion"/>
  </si>
  <si>
    <t>*기타 기관운영비: 300,000원 x 4분기</t>
    <phoneticPr fontId="2" type="noConversion"/>
  </si>
  <si>
    <t>*기타운영비: 100,000원 x 5회</t>
    <phoneticPr fontId="2" type="noConversion"/>
  </si>
  <si>
    <t>이월금</t>
    <phoneticPr fontId="2" type="noConversion"/>
  </si>
  <si>
    <t>*회의비(운영위원회 등): 300,000원 x 4분기</t>
    <phoneticPr fontId="2" type="noConversion"/>
  </si>
  <si>
    <t>*기타 복지프로그램: 50,000원 x 26회</t>
    <phoneticPr fontId="2" type="noConversion"/>
  </si>
  <si>
    <t xml:space="preserve">2024년 참좋은기억학교 </t>
    <phoneticPr fontId="2" type="noConversion"/>
  </si>
  <si>
    <t>*직원연수: 200,000원 x 2회</t>
    <phoneticPr fontId="2" type="noConversion"/>
  </si>
  <si>
    <t>직책보조비</t>
    <phoneticPr fontId="2" type="noConversion"/>
  </si>
  <si>
    <t>*비지정후원금: 100,000원 * 9회</t>
  </si>
  <si>
    <t>직책보조비: 3,600,000원</t>
    <phoneticPr fontId="2" type="noConversion"/>
  </si>
  <si>
    <t>*직책보조비: 300,000원 x 12월 x 1명</t>
    <phoneticPr fontId="2" type="noConversion"/>
  </si>
  <si>
    <t>법인전입금(후원금)</t>
    <phoneticPr fontId="2" type="noConversion"/>
  </si>
  <si>
    <t>*법인전입금(후원금)</t>
    <phoneticPr fontId="2" type="noConversion"/>
  </si>
  <si>
    <t>*생신선물 구입: 230,800원 x 1회</t>
    <phoneticPr fontId="2" type="noConversion"/>
  </si>
  <si>
    <t>*간호처치 및 관리: 200,000원 x 4회</t>
    <phoneticPr fontId="2" type="noConversion"/>
  </si>
  <si>
    <t>*시설장(16호봉): 3,747,00원 x 1월 x 1명</t>
    <phoneticPr fontId="2" type="noConversion"/>
  </si>
  <si>
    <t>*시설장(17호봉): 4,203,800원 x 11월 x 1명</t>
    <phoneticPr fontId="2" type="noConversion"/>
  </si>
  <si>
    <t>*선임사회복지사1(9호봉): 2,849,300원 x 9월 x 1명</t>
    <phoneticPr fontId="2" type="noConversion"/>
  </si>
  <si>
    <t>*선임사회복지사1(10호봉): 2,943,000원 x 3월 x 1명</t>
    <phoneticPr fontId="2" type="noConversion"/>
  </si>
  <si>
    <t>*사회복지사2(3호봉): 2,219,800원 x 2월 x 1명</t>
    <phoneticPr fontId="2" type="noConversion"/>
  </si>
  <si>
    <t>*사회복지사2(4호봉): 2,262,000원 x 10월 x 1명</t>
    <phoneticPr fontId="2" type="noConversion"/>
  </si>
  <si>
    <t>*사회복지사4(9호봉): 2,659,800원 x 8월 x 1명</t>
    <phoneticPr fontId="2" type="noConversion"/>
  </si>
  <si>
    <t>*사회복지사4(10호봉): 2,740,100원 x 4월 x 1명</t>
    <phoneticPr fontId="2" type="noConversion"/>
  </si>
  <si>
    <t>*사회복지사5(7호봉): 2,470,200원 x 8월 x 1명</t>
    <phoneticPr fontId="2" type="noConversion"/>
  </si>
  <si>
    <t>*사회복지사5(8호봉): 2,567,900원 x 4월 x 1명</t>
    <phoneticPr fontId="2" type="noConversion"/>
  </si>
  <si>
    <t>*사무원(3호봉): 2,190,200원 x 8월 x 1명</t>
    <phoneticPr fontId="2" type="noConversion"/>
  </si>
  <si>
    <t>*간호조무사(연봉제): 2,115,000원 x 12월 x 1명</t>
    <phoneticPr fontId="2" type="noConversion"/>
  </si>
  <si>
    <t>*조리사(연봉제): 1,600,000원 x 12월 x 1명</t>
    <phoneticPr fontId="2" type="noConversion"/>
  </si>
  <si>
    <t>*명절상여금: 27,169,440원</t>
    <phoneticPr fontId="2" type="noConversion"/>
  </si>
  <si>
    <t>명절상여금: 13,584,720원 x 2회</t>
    <phoneticPr fontId="2" type="noConversion"/>
  </si>
  <si>
    <t>가족수당: 840,000원 x 4분기</t>
    <phoneticPr fontId="2" type="noConversion"/>
  </si>
  <si>
    <t>*가족수당: 3,360,000원</t>
    <phoneticPr fontId="2" type="noConversion"/>
  </si>
  <si>
    <t>*기억학교 10주년 기념행사: 180,000원 x 1회</t>
    <phoneticPr fontId="2" type="noConversion"/>
  </si>
  <si>
    <t>*어버이날행사: 470,800원 x 1회</t>
    <phoneticPr fontId="2" type="noConversion"/>
  </si>
  <si>
    <t>*설,추석행사: 480,000원 x 2회</t>
    <phoneticPr fontId="2" type="noConversion"/>
  </si>
  <si>
    <t>*기타예금이자수입: 10,000원 * 2회</t>
    <phoneticPr fontId="2" type="noConversion"/>
  </si>
  <si>
    <t>*전년도이월금(사업수입): 22,802,901원 x 1회</t>
    <phoneticPr fontId="2" type="noConversion"/>
  </si>
  <si>
    <t>*전년도이월금(실습비수입): 637,079원 x 1회</t>
    <phoneticPr fontId="2" type="noConversion"/>
  </si>
  <si>
    <t>*전년도이월금(직원식대비): 286,796원 x 1회</t>
    <phoneticPr fontId="2" type="noConversion"/>
  </si>
  <si>
    <t>*전년도이월금(후원금): 476,051원 x 1회</t>
    <phoneticPr fontId="2" type="noConversion"/>
  </si>
  <si>
    <t>*시군구보조금(인건비): 92,796,542원 x 4분기</t>
    <phoneticPr fontId="2" type="noConversion"/>
  </si>
  <si>
    <t>*기억학교 10주년 기념행사: 994,330원 x 1회</t>
    <phoneticPr fontId="2" type="noConversion"/>
  </si>
  <si>
    <t>*보호자 자조모임(상,하반기): 350,000원 x 2회</t>
    <phoneticPr fontId="2" type="noConversion"/>
  </si>
  <si>
    <t>*영업배상책임보험 外: 935,500원 x 1회</t>
    <phoneticPr fontId="2" type="noConversion"/>
  </si>
  <si>
    <t>*기타세금 및 각종 협회비: 300,000원 x 5회</t>
    <phoneticPr fontId="2" type="noConversion"/>
  </si>
  <si>
    <t>*클레이교실: 100,000원 x 6회</t>
    <phoneticPr fontId="2" type="noConversion"/>
  </si>
  <si>
    <t>*사무원(4호봉): 2,232,900원 x 4월 x 1명</t>
    <phoneticPr fontId="2" type="noConversion"/>
  </si>
  <si>
    <t>*생계비: 2,500원 x 40명 x 247일</t>
    <phoneticPr fontId="2" type="noConversion"/>
  </si>
  <si>
    <t>*기관 배관 공사: 1,056,000원 x 2회</t>
    <phoneticPr fontId="2" type="noConversion"/>
  </si>
  <si>
    <t>*다도교실: 50,000원 x 12회</t>
    <phoneticPr fontId="2" type="noConversion"/>
  </si>
  <si>
    <t>*이용어르신 증가에 따른 입소비용수입 증액 조정</t>
    <phoneticPr fontId="2" type="noConversion"/>
  </si>
  <si>
    <t>*주방용품 집기구입: 250,000원 x 4회</t>
    <phoneticPr fontId="2" type="noConversion"/>
  </si>
  <si>
    <t>*종사자 복지포인트: 1,850,000원 x 1회</t>
    <phoneticPr fontId="2" type="noConversion"/>
  </si>
  <si>
    <t>*기억학교 종사자 워크샵 참가비: 162,500원 x 4회</t>
    <phoneticPr fontId="2" type="noConversion"/>
  </si>
  <si>
    <t>*프로그램실 집기구입 자산취득비: 1,570,000원 x 1회</t>
    <phoneticPr fontId="2" type="noConversion"/>
  </si>
  <si>
    <t xml:space="preserve">*차량관리비 및 수리비: 300,000원 x 3대 x 4회 </t>
    <phoneticPr fontId="2" type="noConversion"/>
  </si>
  <si>
    <t>*사무용품 및 집기구입: 350,000원 x 8회</t>
    <phoneticPr fontId="2" type="noConversion"/>
  </si>
  <si>
    <t>*프로그램실 에어컨 자산취득비: 5,000,000원 x 2회</t>
    <phoneticPr fontId="2" type="noConversion"/>
  </si>
  <si>
    <t>1. 참좋은기억학교의 2024년 2차 추경세입,세출은 다음과 같다.</t>
    <phoneticPr fontId="2" type="noConversion"/>
  </si>
  <si>
    <t>2024년 참좋은기억학교 2차 추경 예산 총괄내역서</t>
    <phoneticPr fontId="2" type="noConversion"/>
  </si>
  <si>
    <t>1) 2024년 참좋은기억학교 2차 추경 세입 예산 내역</t>
    <phoneticPr fontId="2" type="noConversion"/>
  </si>
  <si>
    <t>2) 2024년 참좋은기억학교 2차 추경 세출 예산 내역</t>
    <phoneticPr fontId="2" type="noConversion"/>
  </si>
  <si>
    <t>2024년 참좋은기억학교 2차 추경 예산 증감사항 및 주요내용</t>
  </si>
  <si>
    <t>2차 추경 세입.세출 예산(안)</t>
    <phoneticPr fontId="2" type="noConversion"/>
  </si>
  <si>
    <t>2024. 09.</t>
    <phoneticPr fontId="2" type="noConversion"/>
  </si>
  <si>
    <t>2024년 1차 추경
(A)</t>
    <phoneticPr fontId="2" type="noConversion"/>
  </si>
  <si>
    <t>2024년 2차 추경
(B)</t>
    <phoneticPr fontId="2" type="noConversion"/>
  </si>
  <si>
    <t>의료비</t>
    <phoneticPr fontId="2" type="noConversion"/>
  </si>
  <si>
    <t>의료비</t>
    <phoneticPr fontId="2" type="noConversion"/>
  </si>
  <si>
    <t>*상비약 등: 150,000원 x 2회</t>
    <phoneticPr fontId="2" type="noConversion"/>
  </si>
  <si>
    <t xml:space="preserve">시간외수당(월 5시간 x 8명 x 12월) </t>
    <phoneticPr fontId="2" type="noConversion"/>
  </si>
  <si>
    <t>*장기요양보험: 11,230,948원 x 12.95%</t>
    <phoneticPr fontId="2" type="noConversion"/>
  </si>
  <si>
    <t>*종사자 단체상해보험: 100,000원 x 1회</t>
    <phoneticPr fontId="2" type="noConversion"/>
  </si>
  <si>
    <t>*복날행사: 185,600원 x 1회</t>
    <phoneticPr fontId="2" type="noConversion"/>
  </si>
  <si>
    <t>*나들이행사(봄/가을): 807,200원 x 2회</t>
    <phoneticPr fontId="2" type="noConversion"/>
  </si>
  <si>
    <t>*시간외수당: 7,370,900원</t>
    <phoneticPr fontId="2" type="noConversion"/>
  </si>
  <si>
    <t>*사회복지사3(7호봉): 370,200원 x 2월 x 1명(출산휴가자)</t>
    <phoneticPr fontId="2" type="noConversion"/>
  </si>
  <si>
    <t>*실비수입(일1만원): 10,000원 x 28명 x 247일</t>
    <phoneticPr fontId="2" type="noConversion"/>
  </si>
  <si>
    <t>*퇴직적립금: 326,788,882원 / 12회</t>
    <phoneticPr fontId="2" type="noConversion"/>
  </si>
  <si>
    <t>*국민연금: 317,909,440원 x 4.5%</t>
    <phoneticPr fontId="2" type="noConversion"/>
  </si>
  <si>
    <t>*건강보험: 317,909,440원 x 3.545%</t>
    <phoneticPr fontId="2" type="noConversion"/>
  </si>
  <si>
    <t>*고용보험: 264,320,640원 x 1.25%</t>
    <phoneticPr fontId="2" type="noConversion"/>
  </si>
  <si>
    <t>*산재보험: 264,320,640원  x 0.76%</t>
    <phoneticPr fontId="2" type="noConversion"/>
  </si>
  <si>
    <t>*사회복지사3(7호봉): 2,470,200원 x 10월 x 1명</t>
    <phoneticPr fontId="2" type="noConversion"/>
  </si>
  <si>
    <t xml:space="preserve">*사회복지사6(7호봉): 2,470,200 x 2월 x 1명 </t>
    <phoneticPr fontId="2" type="noConversion"/>
  </si>
  <si>
    <t>*기타잡수입: 319,002원 x 1회</t>
    <phoneticPr fontId="2" type="noConversion"/>
  </si>
  <si>
    <t>*기타 복리후생경비: 245,000원 x 2회</t>
    <phoneticPr fontId="2" type="noConversion"/>
  </si>
  <si>
    <t>운영비</t>
    <phoneticPr fontId="2" type="noConversion"/>
  </si>
  <si>
    <t>의료비</t>
    <phoneticPr fontId="2" type="noConversion"/>
  </si>
  <si>
    <t>*예비비 감액 조정</t>
    <phoneticPr fontId="2" type="noConversion"/>
  </si>
  <si>
    <t>*예비비: 60,417원 x 1회</t>
    <phoneticPr fontId="2" type="noConversion"/>
  </si>
  <si>
    <t>*종사자 출산휴가 예정으로 인한 증액 조정</t>
    <phoneticPr fontId="2" type="noConversion"/>
  </si>
  <si>
    <r>
      <t xml:space="preserve">2. 세입.세출 예산 총액은 </t>
    </r>
    <r>
      <rPr>
        <b/>
        <u/>
        <sz val="12"/>
        <rFont val="굴림"/>
        <family val="3"/>
        <charset val="129"/>
      </rPr>
      <t>501,300,000원</t>
    </r>
    <r>
      <rPr>
        <sz val="12"/>
        <rFont val="굴림"/>
        <family val="3"/>
        <charset val="129"/>
      </rPr>
      <t>으로한다.</t>
    </r>
    <phoneticPr fontId="2" type="noConversion"/>
  </si>
  <si>
    <t>*의료비 및 간호처치사업비 분리로 인한  신설</t>
    <phoneticPr fontId="2" type="noConversion"/>
  </si>
  <si>
    <t>*기타잡수입 증액 조정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</si>
</sst>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_);\(#,##0\)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sz val="20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16"/>
      <name val="굴림"/>
      <family val="3"/>
      <charset val="129"/>
    </font>
    <font>
      <b/>
      <sz val="25"/>
      <name val="굴림"/>
      <family val="3"/>
      <charset val="129"/>
    </font>
    <font>
      <sz val="12"/>
      <name val="굴림"/>
      <family val="3"/>
      <charset val="129"/>
    </font>
    <font>
      <b/>
      <u/>
      <sz val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b/>
      <sz val="12"/>
      <name val="굴림"/>
      <family val="3"/>
      <charset val="129"/>
    </font>
    <font>
      <sz val="12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1"/>
      <name val="굴림"/>
      <family val="3"/>
      <charset val="129"/>
    </font>
    <font>
      <u/>
      <sz val="9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79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41" fontId="2" fillId="0" borderId="0" xfId="2" applyNumberFormat="1" applyFont="1">
      <alignment vertical="center"/>
    </xf>
    <xf numFmtId="0" fontId="2" fillId="0" borderId="0" xfId="2" applyFont="1">
      <alignment vertical="center"/>
    </xf>
    <xf numFmtId="0" fontId="7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8" fillId="0" borderId="10" xfId="0" applyNumberFormat="1" applyFont="1" applyBorder="1">
      <alignment vertical="center"/>
    </xf>
    <xf numFmtId="3" fontId="8" fillId="0" borderId="11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3" fontId="9" fillId="0" borderId="14" xfId="0" applyNumberFormat="1" applyFont="1" applyBorder="1">
      <alignment vertical="center"/>
    </xf>
    <xf numFmtId="3" fontId="9" fillId="0" borderId="15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" fontId="9" fillId="0" borderId="21" xfId="0" applyNumberFormat="1" applyFont="1" applyBorder="1">
      <alignment vertical="center"/>
    </xf>
    <xf numFmtId="3" fontId="9" fillId="0" borderId="22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3" fontId="9" fillId="0" borderId="25" xfId="0" applyNumberFormat="1" applyFont="1" applyBorder="1">
      <alignment vertical="center"/>
    </xf>
    <xf numFmtId="3" fontId="9" fillId="0" borderId="26" xfId="0" applyNumberFormat="1" applyFont="1" applyBorder="1" applyAlignment="1">
      <alignment horizontal="right" vertical="center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8" fillId="0" borderId="11" xfId="0" applyNumberFormat="1" applyFont="1" applyBorder="1">
      <alignment vertical="center"/>
    </xf>
    <xf numFmtId="0" fontId="9" fillId="0" borderId="28" xfId="0" applyFont="1" applyBorder="1" applyAlignment="1">
      <alignment horizontal="center" vertical="center"/>
    </xf>
    <xf numFmtId="3" fontId="9" fillId="0" borderId="29" xfId="0" applyNumberFormat="1" applyFont="1" applyBorder="1">
      <alignment vertical="center"/>
    </xf>
    <xf numFmtId="3" fontId="9" fillId="0" borderId="20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9" fillId="0" borderId="26" xfId="0" applyNumberFormat="1" applyFont="1" applyBorder="1">
      <alignment vertical="center"/>
    </xf>
    <xf numFmtId="0" fontId="3" fillId="0" borderId="0" xfId="0" applyFont="1">
      <alignment vertical="center"/>
    </xf>
    <xf numFmtId="0" fontId="9" fillId="0" borderId="38" xfId="0" applyFont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3" fontId="9" fillId="0" borderId="30" xfId="0" applyNumberFormat="1" applyFont="1" applyBorder="1">
      <alignment vertical="center"/>
    </xf>
    <xf numFmtId="3" fontId="9" fillId="0" borderId="15" xfId="0" applyNumberFormat="1" applyFont="1" applyBorder="1">
      <alignment vertical="center"/>
    </xf>
    <xf numFmtId="0" fontId="3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9" fillId="0" borderId="38" xfId="2" applyFont="1" applyBorder="1">
      <alignment vertical="center"/>
    </xf>
    <xf numFmtId="0" fontId="9" fillId="0" borderId="0" xfId="2" applyFont="1">
      <alignment vertical="center"/>
    </xf>
    <xf numFmtId="3" fontId="9" fillId="0" borderId="0" xfId="2" applyNumberFormat="1" applyFont="1">
      <alignment vertical="center"/>
    </xf>
    <xf numFmtId="0" fontId="8" fillId="0" borderId="6" xfId="0" applyFont="1" applyBorder="1" applyAlignment="1">
      <alignment horizontal="center" vertical="center" wrapText="1" shrinkToFit="1"/>
    </xf>
    <xf numFmtId="3" fontId="3" fillId="0" borderId="0" xfId="0" applyNumberFormat="1" applyFont="1">
      <alignment vertical="center"/>
    </xf>
    <xf numFmtId="0" fontId="12" fillId="0" borderId="0" xfId="0" applyFont="1" applyAlignment="1">
      <alignment vertical="center" shrinkToFit="1"/>
    </xf>
    <xf numFmtId="0" fontId="9" fillId="0" borderId="38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29" xfId="2" applyFont="1" applyBorder="1">
      <alignment vertical="center"/>
    </xf>
    <xf numFmtId="0" fontId="9" fillId="0" borderId="42" xfId="2" applyFont="1" applyBorder="1" applyAlignment="1">
      <alignment horizontal="left" vertical="center"/>
    </xf>
    <xf numFmtId="3" fontId="9" fillId="0" borderId="42" xfId="2" applyNumberFormat="1" applyFont="1" applyBorder="1">
      <alignment vertical="center"/>
    </xf>
    <xf numFmtId="3" fontId="3" fillId="0" borderId="0" xfId="2" applyNumberFormat="1" applyFont="1">
      <alignment vertical="center"/>
    </xf>
    <xf numFmtId="41" fontId="9" fillId="0" borderId="0" xfId="1" applyFont="1">
      <alignment vertical="center"/>
    </xf>
    <xf numFmtId="0" fontId="9" fillId="0" borderId="63" xfId="2" applyFont="1" applyBorder="1" applyAlignment="1">
      <alignment horizontal="center" vertical="center"/>
    </xf>
    <xf numFmtId="3" fontId="9" fillId="0" borderId="63" xfId="2" applyNumberFormat="1" applyFont="1" applyBorder="1" applyAlignment="1">
      <alignment horizontal="center" vertical="center" wrapText="1"/>
    </xf>
    <xf numFmtId="41" fontId="3" fillId="0" borderId="0" xfId="1" applyFont="1">
      <alignment vertical="center"/>
    </xf>
    <xf numFmtId="0" fontId="9" fillId="0" borderId="45" xfId="2" applyFont="1" applyBorder="1">
      <alignment vertical="center"/>
    </xf>
    <xf numFmtId="3" fontId="0" fillId="0" borderId="0" xfId="0" applyNumberFormat="1">
      <alignment vertical="center"/>
    </xf>
    <xf numFmtId="3" fontId="9" fillId="0" borderId="14" xfId="2" applyNumberFormat="1" applyFont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>
      <alignment vertical="center"/>
    </xf>
    <xf numFmtId="41" fontId="12" fillId="0" borderId="0" xfId="1" applyFont="1">
      <alignment vertical="center"/>
    </xf>
    <xf numFmtId="41" fontId="9" fillId="0" borderId="38" xfId="1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47" xfId="2" applyFont="1" applyBorder="1" applyAlignment="1">
      <alignment horizontal="left" vertical="center"/>
    </xf>
    <xf numFmtId="3" fontId="17" fillId="0" borderId="0" xfId="0" applyNumberFormat="1" applyFont="1">
      <alignment vertical="center"/>
    </xf>
    <xf numFmtId="3" fontId="18" fillId="0" borderId="0" xfId="0" applyNumberFormat="1" applyFont="1">
      <alignment vertical="center"/>
    </xf>
    <xf numFmtId="3" fontId="15" fillId="0" borderId="0" xfId="0" applyNumberFormat="1" applyFont="1" applyAlignment="1">
      <alignment horizontal="right" vertical="center"/>
    </xf>
    <xf numFmtId="41" fontId="9" fillId="0" borderId="38" xfId="1" applyFont="1" applyBorder="1">
      <alignment vertical="center"/>
    </xf>
    <xf numFmtId="0" fontId="10" fillId="0" borderId="0" xfId="0" applyFont="1" applyAlignment="1">
      <alignment horizontal="left" vertical="center"/>
    </xf>
    <xf numFmtId="41" fontId="3" fillId="0" borderId="0" xfId="0" applyNumberFormat="1" applyFont="1">
      <alignment vertical="center"/>
    </xf>
    <xf numFmtId="41" fontId="9" fillId="0" borderId="37" xfId="1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1" fontId="9" fillId="0" borderId="0" xfId="0" applyNumberFormat="1" applyFont="1" applyAlignment="1">
      <alignment horizontal="right" vertical="center"/>
    </xf>
    <xf numFmtId="41" fontId="9" fillId="0" borderId="66" xfId="0" applyNumberFormat="1" applyFont="1" applyBorder="1">
      <alignment vertical="center"/>
    </xf>
    <xf numFmtId="3" fontId="9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3" fontId="8" fillId="0" borderId="0" xfId="1" applyNumberFormat="1" applyFont="1" applyFill="1" applyBorder="1" applyAlignment="1">
      <alignment horizontal="right" vertical="center"/>
    </xf>
    <xf numFmtId="41" fontId="9" fillId="0" borderId="0" xfId="0" applyNumberFormat="1" applyFont="1">
      <alignment vertical="center"/>
    </xf>
    <xf numFmtId="3" fontId="8" fillId="0" borderId="32" xfId="0" applyNumberFormat="1" applyFont="1" applyBorder="1" applyAlignment="1">
      <alignment horizontal="center" vertical="center"/>
    </xf>
    <xf numFmtId="3" fontId="8" fillId="0" borderId="10" xfId="1" applyNumberFormat="1" applyFont="1" applyFill="1" applyBorder="1" applyAlignment="1">
      <alignment horizontal="right" vertical="center"/>
    </xf>
    <xf numFmtId="3" fontId="8" fillId="0" borderId="29" xfId="1" applyNumberFormat="1" applyFont="1" applyFill="1" applyBorder="1" applyAlignment="1">
      <alignment vertical="center"/>
    </xf>
    <xf numFmtId="3" fontId="8" fillId="0" borderId="20" xfId="1" applyNumberFormat="1" applyFont="1" applyFill="1" applyBorder="1" applyAlignment="1">
      <alignment vertical="center"/>
    </xf>
    <xf numFmtId="3" fontId="9" fillId="0" borderId="20" xfId="1" applyNumberFormat="1" applyFont="1" applyFill="1" applyBorder="1" applyAlignment="1">
      <alignment vertical="center"/>
    </xf>
    <xf numFmtId="3" fontId="9" fillId="0" borderId="29" xfId="1" applyNumberFormat="1" applyFont="1" applyFill="1" applyBorder="1" applyAlignment="1">
      <alignment vertical="center"/>
    </xf>
    <xf numFmtId="3" fontId="9" fillId="0" borderId="38" xfId="0" applyNumberFormat="1" applyFont="1" applyBorder="1">
      <alignment vertical="center"/>
    </xf>
    <xf numFmtId="3" fontId="9" fillId="0" borderId="37" xfId="0" applyNumberFormat="1" applyFont="1" applyBorder="1">
      <alignment vertical="center"/>
    </xf>
    <xf numFmtId="3" fontId="9" fillId="0" borderId="37" xfId="1" applyNumberFormat="1" applyFont="1" applyFill="1" applyBorder="1" applyAlignment="1">
      <alignment vertical="center"/>
    </xf>
    <xf numFmtId="3" fontId="8" fillId="0" borderId="20" xfId="0" applyNumberFormat="1" applyFont="1" applyBorder="1">
      <alignment vertical="center"/>
    </xf>
    <xf numFmtId="3" fontId="9" fillId="0" borderId="38" xfId="1" applyNumberFormat="1" applyFont="1" applyFill="1" applyBorder="1" applyAlignment="1">
      <alignment vertical="center"/>
    </xf>
    <xf numFmtId="3" fontId="8" fillId="0" borderId="43" xfId="1" applyNumberFormat="1" applyFont="1" applyFill="1" applyBorder="1" applyAlignment="1">
      <alignment vertical="center"/>
    </xf>
    <xf numFmtId="3" fontId="9" fillId="0" borderId="47" xfId="1" applyNumberFormat="1" applyFont="1" applyFill="1" applyBorder="1" applyAlignment="1">
      <alignment vertical="center"/>
    </xf>
    <xf numFmtId="3" fontId="9" fillId="0" borderId="0" xfId="0" applyNumberFormat="1" applyFont="1">
      <alignment vertical="center"/>
    </xf>
    <xf numFmtId="0" fontId="9" fillId="0" borderId="0" xfId="0" applyFont="1">
      <alignment vertical="center"/>
    </xf>
    <xf numFmtId="41" fontId="9" fillId="0" borderId="0" xfId="1" applyFont="1" applyFill="1">
      <alignment vertical="center"/>
    </xf>
    <xf numFmtId="41" fontId="3" fillId="0" borderId="0" xfId="1" applyFont="1" applyFill="1">
      <alignment vertical="center"/>
    </xf>
    <xf numFmtId="0" fontId="8" fillId="0" borderId="32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47" xfId="0" applyFont="1" applyBorder="1" applyAlignment="1">
      <alignment horizontal="center" vertical="center"/>
    </xf>
    <xf numFmtId="43" fontId="3" fillId="0" borderId="0" xfId="1" applyNumberFormat="1" applyFont="1" applyFill="1">
      <alignment vertical="center"/>
    </xf>
    <xf numFmtId="0" fontId="9" fillId="0" borderId="16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3" fontId="9" fillId="0" borderId="0" xfId="1" applyNumberFormat="1" applyFont="1" applyFill="1" applyBorder="1" applyAlignment="1">
      <alignment vertical="center"/>
    </xf>
    <xf numFmtId="3" fontId="21" fillId="0" borderId="0" xfId="0" applyNumberFormat="1" applyFont="1">
      <alignment vertical="center"/>
    </xf>
    <xf numFmtId="3" fontId="22" fillId="0" borderId="10" xfId="1" applyNumberFormat="1" applyFont="1" applyFill="1" applyBorder="1" applyAlignment="1">
      <alignment horizontal="right" vertical="center"/>
    </xf>
    <xf numFmtId="3" fontId="22" fillId="0" borderId="20" xfId="1" applyNumberFormat="1" applyFont="1" applyFill="1" applyBorder="1" applyAlignment="1">
      <alignment horizontal="right" vertical="center"/>
    </xf>
    <xf numFmtId="3" fontId="8" fillId="0" borderId="20" xfId="1" applyNumberFormat="1" applyFont="1" applyFill="1" applyBorder="1" applyAlignment="1">
      <alignment horizontal="right" vertical="center"/>
    </xf>
    <xf numFmtId="3" fontId="21" fillId="0" borderId="20" xfId="1" applyNumberFormat="1" applyFont="1" applyFill="1" applyBorder="1" applyAlignment="1">
      <alignment horizontal="right" vertical="center"/>
    </xf>
    <xf numFmtId="3" fontId="9" fillId="0" borderId="20" xfId="1" applyNumberFormat="1" applyFont="1" applyFill="1" applyBorder="1" applyAlignment="1">
      <alignment horizontal="right" vertical="center"/>
    </xf>
    <xf numFmtId="3" fontId="21" fillId="0" borderId="38" xfId="1" applyNumberFormat="1" applyFont="1" applyFill="1" applyBorder="1" applyAlignment="1">
      <alignment horizontal="right" vertical="center"/>
    </xf>
    <xf numFmtId="3" fontId="21" fillId="0" borderId="37" xfId="1" applyNumberFormat="1" applyFont="1" applyFill="1" applyBorder="1" applyAlignment="1">
      <alignment horizontal="right" vertical="center"/>
    </xf>
    <xf numFmtId="3" fontId="8" fillId="0" borderId="37" xfId="1" applyNumberFormat="1" applyFont="1" applyFill="1" applyBorder="1" applyAlignment="1">
      <alignment horizontal="right" vertical="center"/>
    </xf>
    <xf numFmtId="3" fontId="21" fillId="0" borderId="47" xfId="1" applyNumberFormat="1" applyFont="1" applyFill="1" applyBorder="1" applyAlignment="1">
      <alignment horizontal="right" vertical="center"/>
    </xf>
    <xf numFmtId="3" fontId="8" fillId="0" borderId="47" xfId="1" applyNumberFormat="1" applyFont="1" applyFill="1" applyBorder="1" applyAlignment="1">
      <alignment horizontal="right" vertical="center"/>
    </xf>
    <xf numFmtId="3" fontId="9" fillId="0" borderId="38" xfId="1" applyNumberFormat="1" applyFont="1" applyFill="1" applyBorder="1" applyAlignment="1">
      <alignment horizontal="right" vertical="center"/>
    </xf>
    <xf numFmtId="3" fontId="8" fillId="0" borderId="29" xfId="1" applyNumberFormat="1" applyFont="1" applyFill="1" applyBorder="1" applyAlignment="1">
      <alignment horizontal="right" vertical="center"/>
    </xf>
    <xf numFmtId="3" fontId="9" fillId="0" borderId="29" xfId="1" applyNumberFormat="1" applyFont="1" applyFill="1" applyBorder="1" applyAlignment="1">
      <alignment horizontal="right" vertical="center"/>
    </xf>
    <xf numFmtId="3" fontId="21" fillId="0" borderId="29" xfId="1" applyNumberFormat="1" applyFont="1" applyFill="1" applyBorder="1" applyAlignment="1">
      <alignment horizontal="right" vertical="center"/>
    </xf>
    <xf numFmtId="3" fontId="9" fillId="0" borderId="47" xfId="1" applyNumberFormat="1" applyFont="1" applyFill="1" applyBorder="1" applyAlignment="1">
      <alignment horizontal="right" vertical="center"/>
    </xf>
    <xf numFmtId="3" fontId="9" fillId="0" borderId="37" xfId="1" applyNumberFormat="1" applyFont="1" applyFill="1" applyBorder="1" applyAlignment="1">
      <alignment horizontal="right" vertical="center"/>
    </xf>
    <xf numFmtId="3" fontId="22" fillId="0" borderId="29" xfId="1" applyNumberFormat="1" applyFont="1" applyFill="1" applyBorder="1" applyAlignment="1">
      <alignment horizontal="right" vertical="center"/>
    </xf>
    <xf numFmtId="3" fontId="21" fillId="0" borderId="13" xfId="1" applyNumberFormat="1" applyFont="1" applyFill="1" applyBorder="1" applyAlignment="1">
      <alignment horizontal="right" vertical="center"/>
    </xf>
    <xf numFmtId="3" fontId="9" fillId="0" borderId="13" xfId="1" applyNumberFormat="1" applyFont="1" applyFill="1" applyBorder="1" applyAlignment="1">
      <alignment horizontal="right" vertical="center"/>
    </xf>
    <xf numFmtId="0" fontId="9" fillId="0" borderId="44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0" fontId="9" fillId="0" borderId="38" xfId="0" applyFont="1" applyBorder="1" applyAlignment="1">
      <alignment horizontal="left" vertical="center" shrinkToFit="1"/>
    </xf>
    <xf numFmtId="0" fontId="9" fillId="0" borderId="36" xfId="0" applyFont="1" applyBorder="1" applyAlignment="1">
      <alignment horizontal="left" vertical="center"/>
    </xf>
    <xf numFmtId="0" fontId="9" fillId="0" borderId="44" xfId="0" applyFont="1" applyBorder="1">
      <alignment vertical="center"/>
    </xf>
    <xf numFmtId="0" fontId="9" fillId="0" borderId="62" xfId="0" applyFont="1" applyBorder="1" applyAlignment="1">
      <alignment horizontal="left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vertical="center" wrapText="1"/>
    </xf>
    <xf numFmtId="0" fontId="9" fillId="0" borderId="13" xfId="0" applyFont="1" applyBorder="1">
      <alignment vertical="center"/>
    </xf>
    <xf numFmtId="0" fontId="9" fillId="0" borderId="37" xfId="0" applyFont="1" applyBorder="1" applyAlignment="1">
      <alignment vertical="center" shrinkToFit="1"/>
    </xf>
    <xf numFmtId="0" fontId="9" fillId="0" borderId="37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38" xfId="0" applyFont="1" applyBorder="1">
      <alignment vertical="center"/>
    </xf>
    <xf numFmtId="0" fontId="9" fillId="0" borderId="64" xfId="0" applyFont="1" applyBorder="1" applyAlignment="1">
      <alignment horizontal="left" vertical="center"/>
    </xf>
    <xf numFmtId="0" fontId="9" fillId="0" borderId="47" xfId="0" applyFont="1" applyBorder="1">
      <alignment vertical="center"/>
    </xf>
    <xf numFmtId="41" fontId="9" fillId="0" borderId="0" xfId="2" applyNumberFormat="1" applyFo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4" fontId="19" fillId="0" borderId="39" xfId="7" applyNumberFormat="1" applyFont="1" applyFill="1" applyBorder="1" applyAlignment="1">
      <alignment horizontal="right" vertical="center"/>
    </xf>
    <xf numFmtId="4" fontId="20" fillId="0" borderId="39" xfId="7" applyNumberFormat="1" applyFont="1" applyFill="1" applyBorder="1" applyAlignment="1">
      <alignment horizontal="right" vertical="center"/>
    </xf>
    <xf numFmtId="4" fontId="20" fillId="0" borderId="46" xfId="7" applyNumberFormat="1" applyFont="1" applyFill="1" applyBorder="1" applyAlignment="1">
      <alignment horizontal="right" vertical="center"/>
    </xf>
    <xf numFmtId="3" fontId="20" fillId="0" borderId="37" xfId="7" applyNumberFormat="1" applyFont="1" applyFill="1" applyBorder="1" applyAlignment="1">
      <alignment horizontal="right" vertical="center"/>
    </xf>
    <xf numFmtId="3" fontId="20" fillId="0" borderId="38" xfId="7" applyNumberFormat="1" applyFont="1" applyFill="1" applyBorder="1" applyAlignment="1">
      <alignment horizontal="right" vertical="center"/>
    </xf>
    <xf numFmtId="3" fontId="20" fillId="0" borderId="39" xfId="1" applyNumberFormat="1" applyFont="1" applyFill="1" applyBorder="1" applyAlignment="1">
      <alignment horizontal="right" vertical="center"/>
    </xf>
    <xf numFmtId="3" fontId="20" fillId="0" borderId="46" xfId="1" applyNumberFormat="1" applyFont="1" applyFill="1" applyBorder="1" applyAlignment="1">
      <alignment horizontal="right" vertical="center"/>
    </xf>
    <xf numFmtId="3" fontId="20" fillId="0" borderId="29" xfId="1" applyNumberFormat="1" applyFont="1" applyFill="1" applyBorder="1" applyAlignment="1">
      <alignment horizontal="right" vertical="center"/>
    </xf>
    <xf numFmtId="4" fontId="10" fillId="0" borderId="0" xfId="1" applyNumberFormat="1" applyFont="1" applyAlignment="1">
      <alignment horizontal="left" vertical="center"/>
    </xf>
    <xf numFmtId="4" fontId="9" fillId="0" borderId="0" xfId="1" applyNumberFormat="1" applyFont="1">
      <alignment vertical="center"/>
    </xf>
    <xf numFmtId="4" fontId="8" fillId="0" borderId="32" xfId="1" applyNumberFormat="1" applyFont="1" applyBorder="1" applyAlignment="1">
      <alignment horizontal="center" vertical="center"/>
    </xf>
    <xf numFmtId="4" fontId="19" fillId="0" borderId="39" xfId="1" applyNumberFormat="1" applyFont="1" applyFill="1" applyBorder="1" applyAlignment="1">
      <alignment horizontal="right" vertical="center"/>
    </xf>
    <xf numFmtId="4" fontId="20" fillId="0" borderId="39" xfId="1" applyNumberFormat="1" applyFont="1" applyFill="1" applyBorder="1" applyAlignment="1">
      <alignment horizontal="right" vertical="center"/>
    </xf>
    <xf numFmtId="4" fontId="20" fillId="0" borderId="46" xfId="1" applyNumberFormat="1" applyFont="1" applyFill="1" applyBorder="1" applyAlignment="1">
      <alignment horizontal="right" vertical="center"/>
    </xf>
    <xf numFmtId="4" fontId="20" fillId="0" borderId="29" xfId="1" applyNumberFormat="1" applyFont="1" applyFill="1" applyBorder="1" applyAlignment="1">
      <alignment horizontal="right" vertical="center"/>
    </xf>
    <xf numFmtId="4" fontId="20" fillId="0" borderId="20" xfId="1" applyNumberFormat="1" applyFont="1" applyFill="1" applyBorder="1" applyAlignment="1">
      <alignment horizontal="right" vertical="center"/>
    </xf>
    <xf numFmtId="4" fontId="20" fillId="0" borderId="37" xfId="1" applyNumberFormat="1" applyFont="1" applyFill="1" applyBorder="1" applyAlignment="1">
      <alignment horizontal="right" vertical="center"/>
    </xf>
    <xf numFmtId="4" fontId="19" fillId="0" borderId="43" xfId="1" applyNumberFormat="1" applyFont="1" applyFill="1" applyBorder="1" applyAlignment="1">
      <alignment horizontal="right" vertical="center"/>
    </xf>
    <xf numFmtId="4" fontId="20" fillId="0" borderId="38" xfId="1" applyNumberFormat="1" applyFont="1" applyFill="1" applyBorder="1" applyAlignment="1">
      <alignment horizontal="right" vertical="center"/>
    </xf>
    <xf numFmtId="4" fontId="19" fillId="0" borderId="14" xfId="1" applyNumberFormat="1" applyFont="1" applyFill="1" applyBorder="1" applyAlignment="1">
      <alignment horizontal="right" vertical="center"/>
    </xf>
    <xf numFmtId="4" fontId="20" fillId="0" borderId="47" xfId="1" applyNumberFormat="1" applyFont="1" applyFill="1" applyBorder="1" applyAlignment="1">
      <alignment horizontal="right" vertical="center"/>
    </xf>
    <xf numFmtId="4" fontId="3" fillId="0" borderId="0" xfId="1" applyNumberFormat="1" applyFont="1">
      <alignment vertical="center"/>
    </xf>
    <xf numFmtId="4" fontId="20" fillId="0" borderId="38" xfId="7" applyNumberFormat="1" applyFont="1" applyFill="1" applyBorder="1" applyAlignment="1">
      <alignment horizontal="right" vertical="center"/>
    </xf>
    <xf numFmtId="4" fontId="9" fillId="0" borderId="37" xfId="1" applyNumberFormat="1" applyFont="1" applyFill="1" applyBorder="1" applyAlignment="1">
      <alignment horizontal="right" vertical="center"/>
    </xf>
    <xf numFmtId="4" fontId="9" fillId="0" borderId="48" xfId="1" applyNumberFormat="1" applyFont="1" applyFill="1" applyBorder="1" applyAlignment="1">
      <alignment horizontal="right" vertical="center"/>
    </xf>
    <xf numFmtId="4" fontId="9" fillId="0" borderId="47" xfId="1" applyNumberFormat="1" applyFont="1" applyFill="1" applyBorder="1" applyAlignment="1">
      <alignment horizontal="right" vertical="center"/>
    </xf>
    <xf numFmtId="4" fontId="20" fillId="0" borderId="37" xfId="7" applyNumberFormat="1" applyFont="1" applyFill="1" applyBorder="1" applyAlignment="1">
      <alignment horizontal="right" vertical="center"/>
    </xf>
    <xf numFmtId="4" fontId="9" fillId="0" borderId="46" xfId="1" applyNumberFormat="1" applyFont="1" applyFill="1" applyBorder="1" applyAlignment="1">
      <alignment horizontal="right" vertical="center"/>
    </xf>
    <xf numFmtId="4" fontId="9" fillId="0" borderId="29" xfId="1" applyNumberFormat="1" applyFont="1" applyFill="1" applyBorder="1" applyAlignment="1">
      <alignment horizontal="right" vertical="center"/>
    </xf>
    <xf numFmtId="4" fontId="20" fillId="0" borderId="41" xfId="7" applyNumberFormat="1" applyFont="1" applyFill="1" applyBorder="1" applyAlignment="1">
      <alignment horizontal="right" vertical="center"/>
    </xf>
    <xf numFmtId="4" fontId="20" fillId="0" borderId="29" xfId="7" applyNumberFormat="1" applyFont="1" applyFill="1" applyBorder="1" applyAlignment="1">
      <alignment horizontal="right" vertical="center"/>
    </xf>
    <xf numFmtId="4" fontId="19" fillId="0" borderId="29" xfId="7" applyNumberFormat="1" applyFont="1" applyFill="1" applyBorder="1" applyAlignment="1">
      <alignment horizontal="right" vertical="center"/>
    </xf>
    <xf numFmtId="4" fontId="20" fillId="0" borderId="20" xfId="7" applyNumberFormat="1" applyFont="1" applyFill="1" applyBorder="1" applyAlignment="1">
      <alignment horizontal="right" vertical="center"/>
    </xf>
    <xf numFmtId="4" fontId="19" fillId="0" borderId="37" xfId="7" applyNumberFormat="1" applyFont="1" applyFill="1" applyBorder="1" applyAlignment="1">
      <alignment horizontal="right" vertical="center"/>
    </xf>
    <xf numFmtId="41" fontId="8" fillId="0" borderId="10" xfId="1" applyFont="1" applyBorder="1" applyAlignment="1">
      <alignment horizontal="right" vertical="center"/>
    </xf>
    <xf numFmtId="41" fontId="8" fillId="0" borderId="29" xfId="1" applyFont="1" applyBorder="1" applyAlignment="1">
      <alignment horizontal="right" vertical="center"/>
    </xf>
    <xf numFmtId="0" fontId="9" fillId="0" borderId="38" xfId="1" applyNumberFormat="1" applyFont="1" applyBorder="1" applyAlignment="1">
      <alignment horizontal="left" vertical="center"/>
    </xf>
    <xf numFmtId="41" fontId="9" fillId="0" borderId="42" xfId="1" applyFont="1" applyBorder="1" applyAlignment="1">
      <alignment horizontal="right" vertical="center"/>
    </xf>
    <xf numFmtId="41" fontId="9" fillId="0" borderId="63" xfId="1" applyFont="1" applyBorder="1" applyAlignment="1">
      <alignment horizontal="center" vertical="center" wrapText="1"/>
    </xf>
    <xf numFmtId="41" fontId="9" fillId="0" borderId="35" xfId="1" applyFont="1" applyBorder="1" applyAlignment="1">
      <alignment horizontal="right" vertical="center"/>
    </xf>
    <xf numFmtId="176" fontId="8" fillId="0" borderId="57" xfId="1" applyNumberFormat="1" applyFont="1" applyBorder="1" applyAlignment="1">
      <alignment horizontal="center" vertical="center"/>
    </xf>
    <xf numFmtId="176" fontId="9" fillId="0" borderId="60" xfId="1" applyNumberFormat="1" applyFont="1" applyBorder="1" applyAlignment="1">
      <alignment horizontal="right" vertical="center"/>
    </xf>
    <xf numFmtId="176" fontId="9" fillId="0" borderId="67" xfId="1" applyNumberFormat="1" applyFont="1" applyBorder="1" applyAlignment="1">
      <alignment horizontal="center" vertical="center"/>
    </xf>
    <xf numFmtId="176" fontId="8" fillId="0" borderId="52" xfId="1" applyNumberFormat="1" applyFont="1" applyBorder="1" applyAlignment="1">
      <alignment horizontal="right" vertical="center"/>
    </xf>
    <xf numFmtId="176" fontId="9" fillId="0" borderId="52" xfId="1" applyNumberFormat="1" applyFont="1" applyBorder="1" applyAlignment="1">
      <alignment horizontal="right" vertical="center"/>
    </xf>
    <xf numFmtId="176" fontId="9" fillId="0" borderId="53" xfId="1" applyNumberFormat="1" applyFont="1" applyBorder="1" applyAlignment="1">
      <alignment horizontal="right" vertical="center"/>
    </xf>
    <xf numFmtId="176" fontId="9" fillId="0" borderId="57" xfId="1" applyNumberFormat="1" applyFont="1" applyBorder="1" applyAlignment="1">
      <alignment horizontal="right" vertical="center"/>
    </xf>
    <xf numFmtId="176" fontId="9" fillId="0" borderId="15" xfId="1" quotePrefix="1" applyNumberFormat="1" applyFont="1" applyBorder="1" applyAlignment="1">
      <alignment horizontal="right" vertical="center"/>
    </xf>
    <xf numFmtId="176" fontId="9" fillId="0" borderId="0" xfId="1" quotePrefix="1" applyNumberFormat="1" applyFont="1" applyAlignment="1">
      <alignment horizontal="right" vertical="center"/>
    </xf>
    <xf numFmtId="176" fontId="3" fillId="0" borderId="0" xfId="1" applyNumberFormat="1" applyFont="1">
      <alignment vertical="center"/>
    </xf>
    <xf numFmtId="176" fontId="9" fillId="0" borderId="30" xfId="1" quotePrefix="1" applyNumberFormat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1" fontId="8" fillId="0" borderId="0" xfId="1" applyFont="1" applyBorder="1" applyAlignment="1">
      <alignment horizontal="center" vertical="center"/>
    </xf>
    <xf numFmtId="3" fontId="8" fillId="0" borderId="0" xfId="2" applyNumberFormat="1" applyFont="1" applyBorder="1" applyAlignment="1">
      <alignment horizontal="center" vertical="center"/>
    </xf>
    <xf numFmtId="0" fontId="9" fillId="0" borderId="47" xfId="2" applyFont="1" applyBorder="1">
      <alignment vertical="center"/>
    </xf>
    <xf numFmtId="0" fontId="9" fillId="0" borderId="49" xfId="1" applyNumberFormat="1" applyFont="1" applyBorder="1" applyAlignment="1">
      <alignment horizontal="left" vertical="center"/>
    </xf>
    <xf numFmtId="176" fontId="9" fillId="0" borderId="54" xfId="1" applyNumberFormat="1" applyFont="1" applyBorder="1" applyAlignment="1">
      <alignment horizontal="left" vertical="center"/>
    </xf>
    <xf numFmtId="176" fontId="9" fillId="0" borderId="22" xfId="1" applyNumberFormat="1" applyFont="1" applyBorder="1" applyAlignment="1">
      <alignment horizontal="right" vertical="center"/>
    </xf>
    <xf numFmtId="3" fontId="9" fillId="0" borderId="47" xfId="0" applyNumberFormat="1" applyFont="1" applyBorder="1">
      <alignment vertical="center"/>
    </xf>
    <xf numFmtId="3" fontId="20" fillId="0" borderId="38" xfId="1" applyNumberFormat="1" applyFont="1" applyFill="1" applyBorder="1" applyAlignment="1">
      <alignment horizontal="right" vertical="center"/>
    </xf>
    <xf numFmtId="3" fontId="20" fillId="0" borderId="47" xfId="1" applyNumberFormat="1" applyFont="1" applyFill="1" applyBorder="1" applyAlignment="1">
      <alignment horizontal="right" vertical="center"/>
    </xf>
    <xf numFmtId="0" fontId="9" fillId="0" borderId="65" xfId="0" applyFont="1" applyBorder="1" applyAlignment="1">
      <alignment horizontal="center" vertical="center"/>
    </xf>
    <xf numFmtId="41" fontId="23" fillId="0" borderId="0" xfId="1" applyFont="1" applyFill="1" applyAlignment="1">
      <alignment horizontal="left" vertical="center"/>
    </xf>
    <xf numFmtId="0" fontId="24" fillId="0" borderId="37" xfId="0" applyFont="1" applyBorder="1" applyAlignment="1">
      <alignment vertical="center" wrapText="1"/>
    </xf>
    <xf numFmtId="4" fontId="20" fillId="0" borderId="47" xfId="7" applyNumberFormat="1" applyFont="1" applyFill="1" applyBorder="1" applyAlignment="1">
      <alignment horizontal="right" vertical="center"/>
    </xf>
    <xf numFmtId="0" fontId="9" fillId="0" borderId="45" xfId="0" applyFont="1" applyBorder="1">
      <alignment vertical="center"/>
    </xf>
    <xf numFmtId="0" fontId="9" fillId="0" borderId="0" xfId="0" applyFont="1" applyBorder="1">
      <alignment vertical="center"/>
    </xf>
    <xf numFmtId="41" fontId="9" fillId="0" borderId="0" xfId="1" applyFont="1" applyFill="1" applyBorder="1">
      <alignment vertical="center"/>
    </xf>
    <xf numFmtId="41" fontId="9" fillId="0" borderId="0" xfId="0" applyNumberFormat="1" applyFont="1" applyBorder="1">
      <alignment vertical="center"/>
    </xf>
    <xf numFmtId="0" fontId="3" fillId="0" borderId="45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3" fontId="12" fillId="0" borderId="0" xfId="0" applyNumberFormat="1" applyFont="1" applyFill="1" applyAlignment="1">
      <alignment horizontal="right" vertical="center"/>
    </xf>
    <xf numFmtId="4" fontId="12" fillId="0" borderId="0" xfId="0" applyNumberFormat="1" applyFont="1" applyFill="1" applyAlignment="1">
      <alignment horizontal="right" vertical="center"/>
    </xf>
    <xf numFmtId="0" fontId="3" fillId="0" borderId="0" xfId="0" applyFont="1" applyFill="1">
      <alignment vertical="center"/>
    </xf>
    <xf numFmtId="3" fontId="9" fillId="0" borderId="0" xfId="0" applyNumberFormat="1" applyFont="1" applyFill="1" applyAlignment="1">
      <alignment horizontal="right" vertical="center"/>
    </xf>
    <xf numFmtId="4" fontId="9" fillId="0" borderId="0" xfId="0" applyNumberFormat="1" applyFont="1" applyFill="1">
      <alignment vertical="center"/>
    </xf>
    <xf numFmtId="3" fontId="8" fillId="0" borderId="32" xfId="0" applyNumberFormat="1" applyFont="1" applyFill="1" applyBorder="1" applyAlignment="1">
      <alignment horizontal="center" vertical="center"/>
    </xf>
    <xf numFmtId="4" fontId="8" fillId="0" borderId="32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>
      <alignment vertical="center"/>
    </xf>
    <xf numFmtId="43" fontId="9" fillId="0" borderId="0" xfId="2" applyNumberFormat="1" applyFont="1">
      <alignment vertical="center"/>
    </xf>
    <xf numFmtId="0" fontId="9" fillId="0" borderId="39" xfId="0" applyFont="1" applyBorder="1" applyAlignment="1">
      <alignment vertical="center" shrinkToFit="1"/>
    </xf>
    <xf numFmtId="41" fontId="9" fillId="0" borderId="69" xfId="1" applyFont="1" applyFill="1" applyBorder="1">
      <alignment vertical="center"/>
    </xf>
    <xf numFmtId="0" fontId="9" fillId="0" borderId="14" xfId="0" applyFont="1" applyBorder="1" applyAlignment="1">
      <alignment vertical="center" shrinkToFit="1"/>
    </xf>
    <xf numFmtId="41" fontId="9" fillId="0" borderId="53" xfId="1" applyFont="1" applyFill="1" applyBorder="1">
      <alignment vertical="center"/>
    </xf>
    <xf numFmtId="0" fontId="9" fillId="0" borderId="21" xfId="0" applyFont="1" applyBorder="1" applyAlignment="1">
      <alignment vertical="center" shrinkToFit="1"/>
    </xf>
    <xf numFmtId="41" fontId="9" fillId="0" borderId="55" xfId="1" applyFont="1" applyFill="1" applyBorder="1">
      <alignment vertical="center"/>
    </xf>
    <xf numFmtId="0" fontId="9" fillId="0" borderId="46" xfId="0" applyFont="1" applyFill="1" applyBorder="1" applyAlignment="1">
      <alignment vertical="center" shrinkToFit="1"/>
    </xf>
    <xf numFmtId="41" fontId="9" fillId="0" borderId="57" xfId="1" applyFont="1" applyFill="1" applyBorder="1">
      <alignment vertical="center"/>
    </xf>
    <xf numFmtId="0" fontId="9" fillId="0" borderId="46" xfId="0" applyFont="1" applyBorder="1" applyAlignment="1">
      <alignment vertical="center" shrinkToFit="1"/>
    </xf>
    <xf numFmtId="0" fontId="9" fillId="0" borderId="41" xfId="0" applyFont="1" applyBorder="1" applyAlignment="1">
      <alignment vertical="center" shrinkToFit="1"/>
    </xf>
    <xf numFmtId="41" fontId="9" fillId="0" borderId="60" xfId="1" applyFont="1" applyFill="1" applyBorder="1">
      <alignment vertical="center"/>
    </xf>
    <xf numFmtId="0" fontId="9" fillId="0" borderId="71" xfId="0" applyFont="1" applyBorder="1" applyAlignment="1">
      <alignment vertical="center" shrinkToFit="1"/>
    </xf>
    <xf numFmtId="41" fontId="9" fillId="0" borderId="72" xfId="1" applyFont="1" applyFill="1" applyBorder="1">
      <alignment vertical="center"/>
    </xf>
    <xf numFmtId="41" fontId="9" fillId="0" borderId="52" xfId="1" applyFont="1" applyFill="1" applyBorder="1">
      <alignment vertical="center"/>
    </xf>
    <xf numFmtId="3" fontId="9" fillId="0" borderId="14" xfId="0" applyNumberFormat="1" applyFont="1" applyBorder="1" applyAlignment="1">
      <alignment vertical="center" shrinkToFit="1"/>
    </xf>
    <xf numFmtId="0" fontId="9" fillId="0" borderId="35" xfId="0" applyFont="1" applyBorder="1" applyAlignment="1">
      <alignment vertical="center" shrinkToFit="1"/>
    </xf>
    <xf numFmtId="0" fontId="9" fillId="0" borderId="46" xfId="0" applyFont="1" applyBorder="1" applyAlignment="1">
      <alignment vertical="center" wrapText="1" shrinkToFit="1"/>
    </xf>
    <xf numFmtId="0" fontId="9" fillId="0" borderId="0" xfId="0" applyFont="1" applyAlignment="1">
      <alignment vertical="center" wrapText="1" shrinkToFit="1"/>
    </xf>
    <xf numFmtId="0" fontId="9" fillId="0" borderId="42" xfId="0" applyFont="1" applyBorder="1" applyAlignment="1">
      <alignment vertical="center" wrapText="1" shrinkToFit="1"/>
    </xf>
    <xf numFmtId="3" fontId="9" fillId="0" borderId="39" xfId="0" applyNumberFormat="1" applyFont="1" applyFill="1" applyBorder="1" applyAlignment="1">
      <alignment vertical="center" wrapText="1"/>
    </xf>
    <xf numFmtId="3" fontId="9" fillId="0" borderId="14" xfId="0" applyNumberFormat="1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41" fontId="8" fillId="0" borderId="57" xfId="1" applyFont="1" applyFill="1" applyBorder="1">
      <alignment vertical="center"/>
    </xf>
    <xf numFmtId="0" fontId="9" fillId="0" borderId="41" xfId="0" applyFont="1" applyFill="1" applyBorder="1" applyAlignment="1">
      <alignment vertical="center" shrinkToFit="1"/>
    </xf>
    <xf numFmtId="49" fontId="9" fillId="0" borderId="46" xfId="0" applyNumberFormat="1" applyFont="1" applyFill="1" applyBorder="1" applyAlignment="1">
      <alignment vertical="center" shrinkToFit="1"/>
    </xf>
    <xf numFmtId="0" fontId="9" fillId="0" borderId="21" xfId="0" applyFont="1" applyFill="1" applyBorder="1" applyAlignment="1">
      <alignment vertical="center" shrinkToFit="1"/>
    </xf>
    <xf numFmtId="0" fontId="9" fillId="0" borderId="46" xfId="0" applyFont="1" applyFill="1" applyBorder="1" applyAlignment="1">
      <alignment vertical="center" wrapText="1" shrinkToFit="1"/>
    </xf>
    <xf numFmtId="49" fontId="9" fillId="0" borderId="41" xfId="0" applyNumberFormat="1" applyFont="1" applyFill="1" applyBorder="1" applyAlignment="1">
      <alignment vertical="center" shrinkToFit="1"/>
    </xf>
    <xf numFmtId="0" fontId="9" fillId="0" borderId="39" xfId="0" applyFont="1" applyFill="1" applyBorder="1" applyAlignment="1">
      <alignment vertical="center" shrinkToFit="1"/>
    </xf>
    <xf numFmtId="0" fontId="9" fillId="0" borderId="46" xfId="0" applyFont="1" applyFill="1" applyBorder="1" applyAlignment="1">
      <alignment horizontal="left" vertical="center" shrinkToFit="1"/>
    </xf>
    <xf numFmtId="3" fontId="9" fillId="0" borderId="46" xfId="0" applyNumberFormat="1" applyFont="1" applyFill="1" applyBorder="1" applyAlignment="1">
      <alignment vertical="center" shrinkToFit="1"/>
    </xf>
    <xf numFmtId="41" fontId="8" fillId="0" borderId="52" xfId="1" applyFont="1" applyFill="1" applyBorder="1">
      <alignment vertical="center"/>
    </xf>
    <xf numFmtId="0" fontId="9" fillId="0" borderId="14" xfId="0" applyFont="1" applyFill="1" applyBorder="1" applyAlignment="1">
      <alignment vertical="center" shrinkToFit="1"/>
    </xf>
    <xf numFmtId="3" fontId="9" fillId="0" borderId="21" xfId="0" applyNumberFormat="1" applyFont="1" applyFill="1" applyBorder="1" applyAlignment="1">
      <alignment vertical="center" shrinkToFit="1"/>
    </xf>
    <xf numFmtId="3" fontId="9" fillId="0" borderId="57" xfId="0" applyNumberFormat="1" applyFont="1" applyFill="1" applyBorder="1" applyAlignment="1">
      <alignment vertical="center" shrinkToFit="1"/>
    </xf>
    <xf numFmtId="0" fontId="9" fillId="0" borderId="46" xfId="0" applyFont="1" applyFill="1" applyBorder="1">
      <alignment vertical="center"/>
    </xf>
    <xf numFmtId="3" fontId="9" fillId="0" borderId="41" xfId="0" applyNumberFormat="1" applyFont="1" applyFill="1" applyBorder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0" fontId="9" fillId="0" borderId="46" xfId="0" applyFont="1" applyFill="1" applyBorder="1" applyAlignment="1">
      <alignment vertical="center" wrapText="1"/>
    </xf>
    <xf numFmtId="3" fontId="9" fillId="0" borderId="39" xfId="0" applyNumberFormat="1" applyFont="1" applyFill="1" applyBorder="1" applyAlignment="1">
      <alignment vertical="center" shrinkToFit="1"/>
    </xf>
    <xf numFmtId="0" fontId="9" fillId="0" borderId="73" xfId="0" applyFont="1" applyBorder="1" applyAlignment="1">
      <alignment horizontal="left" vertical="center"/>
    </xf>
    <xf numFmtId="0" fontId="8" fillId="0" borderId="45" xfId="2" applyFont="1" applyBorder="1" applyAlignment="1">
      <alignment vertical="center"/>
    </xf>
    <xf numFmtId="0" fontId="8" fillId="0" borderId="65" xfId="2" applyFont="1" applyBorder="1" applyAlignment="1">
      <alignment vertical="center"/>
    </xf>
    <xf numFmtId="0" fontId="10" fillId="0" borderId="66" xfId="2" applyFont="1" applyBorder="1" applyAlignment="1">
      <alignment vertical="center"/>
    </xf>
    <xf numFmtId="0" fontId="10" fillId="0" borderId="51" xfId="2" applyFont="1" applyBorder="1" applyAlignment="1">
      <alignment vertical="center"/>
    </xf>
    <xf numFmtId="177" fontId="9" fillId="0" borderId="0" xfId="0" applyNumberFormat="1" applyFont="1">
      <alignment vertical="center"/>
    </xf>
    <xf numFmtId="3" fontId="9" fillId="0" borderId="50" xfId="2" applyNumberFormat="1" applyFont="1" applyBorder="1" applyAlignment="1">
      <alignment horizontal="left" vertical="center"/>
    </xf>
    <xf numFmtId="3" fontId="9" fillId="0" borderId="0" xfId="0" applyNumberFormat="1" applyFont="1" applyBorder="1">
      <alignment vertical="center"/>
    </xf>
    <xf numFmtId="0" fontId="9" fillId="0" borderId="37" xfId="0" applyFont="1" applyFill="1" applyBorder="1" applyAlignment="1">
      <alignment horizontal="left" vertical="center"/>
    </xf>
    <xf numFmtId="0" fontId="9" fillId="0" borderId="29" xfId="0" applyFont="1" applyFill="1" applyBorder="1" applyAlignment="1">
      <alignment horizontal="left" vertical="center"/>
    </xf>
    <xf numFmtId="0" fontId="9" fillId="0" borderId="38" xfId="0" applyFont="1" applyFill="1" applyBorder="1" applyAlignment="1">
      <alignment horizontal="left" vertical="center"/>
    </xf>
    <xf numFmtId="0" fontId="9" fillId="0" borderId="46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13" xfId="0" applyFont="1" applyFill="1" applyBorder="1">
      <alignment vertical="center"/>
    </xf>
    <xf numFmtId="0" fontId="10" fillId="0" borderId="74" xfId="2" applyFont="1" applyBorder="1" applyAlignment="1">
      <alignment vertical="center"/>
    </xf>
    <xf numFmtId="0" fontId="9" fillId="0" borderId="75" xfId="2" applyFont="1" applyBorder="1" applyAlignment="1">
      <alignment horizontal="center" vertical="center"/>
    </xf>
    <xf numFmtId="0" fontId="9" fillId="0" borderId="12" xfId="2" applyFont="1" applyBorder="1">
      <alignment vertical="center"/>
    </xf>
    <xf numFmtId="0" fontId="9" fillId="0" borderId="17" xfId="2" applyFont="1" applyBorder="1">
      <alignment vertical="center"/>
    </xf>
    <xf numFmtId="0" fontId="9" fillId="0" borderId="64" xfId="2" applyFont="1" applyBorder="1">
      <alignment vertical="center"/>
    </xf>
    <xf numFmtId="0" fontId="9" fillId="0" borderId="0" xfId="2" applyFont="1" applyBorder="1" applyAlignment="1">
      <alignment horizontal="left" vertical="center"/>
    </xf>
    <xf numFmtId="41" fontId="9" fillId="0" borderId="0" xfId="1" applyFont="1" applyBorder="1" applyAlignment="1">
      <alignment horizontal="right" vertical="center"/>
    </xf>
    <xf numFmtId="3" fontId="9" fillId="0" borderId="0" xfId="2" applyNumberFormat="1" applyFont="1" applyBorder="1">
      <alignment vertical="center"/>
    </xf>
    <xf numFmtId="0" fontId="9" fillId="0" borderId="16" xfId="2" applyFont="1" applyBorder="1">
      <alignment vertical="center"/>
    </xf>
    <xf numFmtId="0" fontId="9" fillId="0" borderId="12" xfId="0" applyFont="1" applyBorder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0" fontId="9" fillId="0" borderId="16" xfId="2" applyFont="1" applyBorder="1" applyAlignment="1">
      <alignment horizontal="left" vertical="center"/>
    </xf>
    <xf numFmtId="0" fontId="9" fillId="0" borderId="65" xfId="2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61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3" fillId="0" borderId="42" xfId="0" applyFont="1" applyBorder="1" applyAlignment="1">
      <alignment horizontal="right" vertical="center"/>
    </xf>
    <xf numFmtId="0" fontId="0" fillId="0" borderId="42" xfId="0" applyFont="1" applyBorder="1">
      <alignment vertical="center"/>
    </xf>
    <xf numFmtId="0" fontId="8" fillId="0" borderId="70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 wrapText="1"/>
    </xf>
    <xf numFmtId="3" fontId="8" fillId="0" borderId="33" xfId="0" applyNumberFormat="1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0" fillId="0" borderId="51" xfId="0" applyFont="1" applyBorder="1">
      <alignment vertical="center"/>
    </xf>
    <xf numFmtId="0" fontId="23" fillId="0" borderId="58" xfId="0" applyFont="1" applyBorder="1" applyAlignment="1">
      <alignment horizontal="center" vertical="center"/>
    </xf>
    <xf numFmtId="0" fontId="0" fillId="0" borderId="59" xfId="0" applyFont="1" applyBorder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8" fillId="0" borderId="43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0" fillId="0" borderId="51" xfId="0" applyFont="1" applyFill="1" applyBorder="1">
      <alignment vertical="center"/>
    </xf>
    <xf numFmtId="0" fontId="23" fillId="0" borderId="58" xfId="0" applyFont="1" applyFill="1" applyBorder="1" applyAlignment="1">
      <alignment horizontal="center" vertical="center"/>
    </xf>
    <xf numFmtId="0" fontId="0" fillId="0" borderId="59" xfId="0" applyFont="1" applyFill="1" applyBorder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42" xfId="0" applyFont="1" applyFill="1" applyBorder="1" applyAlignment="1">
      <alignment horizontal="right" vertical="center"/>
    </xf>
    <xf numFmtId="0" fontId="0" fillId="0" borderId="42" xfId="0" applyFont="1" applyFill="1" applyBorder="1">
      <alignment vertical="center"/>
    </xf>
    <xf numFmtId="3" fontId="8" fillId="0" borderId="33" xfId="0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7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62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14" xfId="1" applyNumberFormat="1" applyFont="1" applyBorder="1" applyAlignment="1">
      <alignment horizontal="left" vertical="center"/>
    </xf>
    <xf numFmtId="0" fontId="9" fillId="0" borderId="40" xfId="1" applyNumberFormat="1" applyFont="1" applyBorder="1" applyAlignment="1">
      <alignment horizontal="left" vertical="center"/>
    </xf>
    <xf numFmtId="0" fontId="9" fillId="0" borderId="53" xfId="1" applyNumberFormat="1" applyFont="1" applyBorder="1" applyAlignment="1">
      <alignment horizontal="left" vertical="center"/>
    </xf>
    <xf numFmtId="3" fontId="9" fillId="0" borderId="49" xfId="2" applyNumberFormat="1" applyFont="1" applyBorder="1" applyAlignment="1">
      <alignment horizontal="left" vertical="center"/>
    </xf>
    <xf numFmtId="3" fontId="9" fillId="0" borderId="50" xfId="2" applyNumberFormat="1" applyFont="1" applyBorder="1" applyAlignment="1">
      <alignment horizontal="left" vertical="center"/>
    </xf>
    <xf numFmtId="3" fontId="9" fillId="0" borderId="54" xfId="2" applyNumberFormat="1" applyFont="1" applyBorder="1" applyAlignment="1">
      <alignment horizontal="left" vertical="center"/>
    </xf>
    <xf numFmtId="3" fontId="9" fillId="0" borderId="14" xfId="2" applyNumberFormat="1" applyFont="1" applyBorder="1" applyAlignment="1">
      <alignment horizontal="left" vertical="center"/>
    </xf>
    <xf numFmtId="3" fontId="9" fillId="0" borderId="40" xfId="2" applyNumberFormat="1" applyFont="1" applyBorder="1" applyAlignment="1">
      <alignment horizontal="left" vertical="center"/>
    </xf>
    <xf numFmtId="3" fontId="9" fillId="0" borderId="53" xfId="2" applyNumberFormat="1" applyFont="1" applyBorder="1" applyAlignment="1">
      <alignment horizontal="left" vertical="center"/>
    </xf>
  </cellXfs>
  <cellStyles count="8">
    <cellStyle name="백분율" xfId="7" builtinId="5"/>
    <cellStyle name="쉼표 [0]" xfId="1" builtinId="6"/>
    <cellStyle name="쉼표 [0] 2" xfId="3" xr:uid="{00000000-0005-0000-0000-000002000000}"/>
    <cellStyle name="쉼표 [0] 3" xfId="4" xr:uid="{00000000-0005-0000-0000-000003000000}"/>
    <cellStyle name="표준" xfId="0" builtinId="0"/>
    <cellStyle name="표준 2" xfId="2" xr:uid="{00000000-0005-0000-0000-000005000000}"/>
    <cellStyle name="표준 3" xfId="5" xr:uid="{00000000-0005-0000-0000-000006000000}"/>
    <cellStyle name="표준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tabSelected="1" view="pageBreakPreview" zoomScale="70" zoomScaleNormal="100" zoomScaleSheetLayoutView="70" workbookViewId="0"/>
  </sheetViews>
  <sheetFormatPr defaultRowHeight="13.5" x14ac:dyDescent="0.15"/>
  <cols>
    <col min="1" max="1" width="121.44140625" style="33" customWidth="1"/>
    <col min="2" max="16384" width="8.88671875" style="33"/>
  </cols>
  <sheetData>
    <row r="1" spans="1:1" ht="84.75" customHeight="1" x14ac:dyDescent="0.15">
      <c r="A1" s="1"/>
    </row>
    <row r="2" spans="1:1" ht="30" customHeight="1" x14ac:dyDescent="0.15">
      <c r="A2" s="35" t="s">
        <v>174</v>
      </c>
    </row>
    <row r="3" spans="1:1" ht="30" customHeight="1" x14ac:dyDescent="0.4">
      <c r="A3" s="36" t="s">
        <v>232</v>
      </c>
    </row>
    <row r="4" spans="1:1" ht="30" customHeight="1" x14ac:dyDescent="0.15">
      <c r="A4" s="1"/>
    </row>
    <row r="5" spans="1:1" ht="30" customHeight="1" x14ac:dyDescent="0.15">
      <c r="A5" s="1"/>
    </row>
    <row r="6" spans="1:1" ht="231" customHeight="1" x14ac:dyDescent="0.3">
      <c r="A6" s="6" t="s">
        <v>233</v>
      </c>
    </row>
    <row r="7" spans="1:1" ht="217.5" customHeight="1" x14ac:dyDescent="0.15">
      <c r="A7" s="1"/>
    </row>
    <row r="8" spans="1:1" ht="30" customHeight="1" x14ac:dyDescent="0.15">
      <c r="A8" s="2" t="s">
        <v>0</v>
      </c>
    </row>
    <row r="9" spans="1:1" ht="30" customHeight="1" x14ac:dyDescent="0.15">
      <c r="A9" s="3" t="s">
        <v>69</v>
      </c>
    </row>
  </sheetData>
  <customSheetViews>
    <customSheetView guid="{29BE6789-D580-482F-AE13-9E62D887C1AB}" scale="60" showPageBreaks="1" printArea="1" view="pageBreakPreview">
      <selection activeCell="A8" sqref="A8:A9"/>
      <pageMargins left="0.7480314960629921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/>
    </customSheetView>
  </customSheetViews>
  <phoneticPr fontId="2" type="noConversion"/>
  <pageMargins left="0.94488188976377963" right="0.74803149606299213" top="0.98425196850393704" bottom="0.98425196850393704" header="0.51181102362204722" footer="0.51181102362204722"/>
  <pageSetup paperSize="9" scale="92" firstPageNumber="183" fitToWidth="0" fitToHeight="0" orientation="portrait" useFirstPageNumber="1" horizontalDpi="429496729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1"/>
  <sheetViews>
    <sheetView view="pageBreakPreview" zoomScale="115" zoomScaleNormal="100" zoomScaleSheetLayoutView="115" workbookViewId="0"/>
  </sheetViews>
  <sheetFormatPr defaultRowHeight="13.5" x14ac:dyDescent="0.15"/>
  <cols>
    <col min="1" max="1" width="79.6640625" style="33" customWidth="1"/>
    <col min="2" max="2" width="9.5546875" style="33" bestFit="1" customWidth="1"/>
    <col min="3" max="16384" width="8.88671875" style="33"/>
  </cols>
  <sheetData>
    <row r="1" spans="1:2" ht="30" customHeight="1" x14ac:dyDescent="0.3">
      <c r="A1" s="37" t="s">
        <v>11</v>
      </c>
    </row>
    <row r="2" spans="1:2" ht="30" customHeight="1" x14ac:dyDescent="0.15">
      <c r="A2" s="38"/>
    </row>
    <row r="3" spans="1:2" ht="30" customHeight="1" x14ac:dyDescent="0.15">
      <c r="A3" s="39" t="s">
        <v>227</v>
      </c>
    </row>
    <row r="4" spans="1:2" ht="30" customHeight="1" x14ac:dyDescent="0.15">
      <c r="A4" s="39"/>
    </row>
    <row r="5" spans="1:2" ht="30" customHeight="1" x14ac:dyDescent="0.15">
      <c r="A5" s="39" t="s">
        <v>261</v>
      </c>
      <c r="B5" s="49"/>
    </row>
    <row r="6" spans="1:2" ht="30" customHeight="1" x14ac:dyDescent="0.15">
      <c r="A6" s="39"/>
    </row>
    <row r="7" spans="1:2" ht="30" customHeight="1" x14ac:dyDescent="0.15">
      <c r="A7" s="39" t="s">
        <v>118</v>
      </c>
    </row>
    <row r="8" spans="1:2" ht="30" customHeight="1" x14ac:dyDescent="0.15">
      <c r="A8" s="39"/>
    </row>
    <row r="9" spans="1:2" ht="30" customHeight="1" x14ac:dyDescent="0.15">
      <c r="A9" s="50" t="s">
        <v>93</v>
      </c>
    </row>
    <row r="10" spans="1:2" ht="30" customHeight="1" x14ac:dyDescent="0.15">
      <c r="A10" s="39"/>
    </row>
    <row r="11" spans="1:2" ht="30" customHeight="1" x14ac:dyDescent="0.15">
      <c r="A11" s="38" t="s">
        <v>100</v>
      </c>
    </row>
    <row r="12" spans="1:2" ht="30" customHeight="1" x14ac:dyDescent="0.15">
      <c r="A12" s="38" t="s">
        <v>101</v>
      </c>
    </row>
    <row r="13" spans="1:2" ht="30" customHeight="1" x14ac:dyDescent="0.15">
      <c r="A13" s="38"/>
    </row>
    <row r="14" spans="1:2" ht="30" customHeight="1" x14ac:dyDescent="0.15">
      <c r="A14" s="38" t="s">
        <v>90</v>
      </c>
    </row>
    <row r="15" spans="1:2" ht="30" customHeight="1" x14ac:dyDescent="0.15">
      <c r="A15" s="38" t="s">
        <v>94</v>
      </c>
    </row>
    <row r="16" spans="1:2" ht="30" customHeight="1" x14ac:dyDescent="0.15">
      <c r="A16" s="38"/>
    </row>
    <row r="17" spans="1:1" ht="30" customHeight="1" x14ac:dyDescent="0.15">
      <c r="A17" s="38" t="s">
        <v>102</v>
      </c>
    </row>
    <row r="18" spans="1:1" ht="30" customHeight="1" x14ac:dyDescent="0.15">
      <c r="A18" s="38" t="s">
        <v>91</v>
      </c>
    </row>
    <row r="19" spans="1:1" ht="14.25" x14ac:dyDescent="0.15">
      <c r="A19" s="38"/>
    </row>
    <row r="20" spans="1:1" ht="14.25" x14ac:dyDescent="0.15">
      <c r="A20" s="38"/>
    </row>
    <row r="21" spans="1:1" ht="20.25" x14ac:dyDescent="0.25">
      <c r="A21" s="40"/>
    </row>
  </sheetData>
  <customSheetViews>
    <customSheetView guid="{29BE6789-D580-482F-AE13-9E62D887C1AB}" showPageBreaks="1" view="pageBreakPreview">
      <selection activeCell="A5" sqref="A5"/>
      <pageMargins left="0.9448818897637796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>
        <oddFooter xml:space="preserve">&amp;R참좋은 기억학교(2022.02.14)
</oddFooter>
      </headerFooter>
    </customSheetView>
  </customSheetViews>
  <phoneticPr fontId="2" type="noConversion"/>
  <pageMargins left="0.94488188976377963" right="0.74803149606299213" top="0.98425196850393704" bottom="0.98425196850393704" header="0.51181102362204722" footer="0.51181102362204722"/>
  <pageSetup paperSize="9" scale="81" firstPageNumber="183" orientation="portrait" useFirstPageNumber="1" r:id="rId2"/>
  <headerFooter alignWithMargins="0">
    <oddFooter xml:space="preserve">&amp;R참좋은기억학교(2024. 09. 06.)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view="pageBreakPreview" zoomScaleNormal="100" zoomScaleSheetLayoutView="100" workbookViewId="0">
      <selection sqref="A1:E1"/>
    </sheetView>
  </sheetViews>
  <sheetFormatPr defaultRowHeight="13.5" x14ac:dyDescent="0.15"/>
  <cols>
    <col min="1" max="1" width="14.88671875" style="5" customWidth="1"/>
    <col min="2" max="2" width="15.88671875" style="5" customWidth="1"/>
    <col min="3" max="5" width="13.77734375" style="5" customWidth="1"/>
    <col min="6" max="7" width="11.77734375" bestFit="1" customWidth="1"/>
  </cols>
  <sheetData>
    <row r="1" spans="1:7" ht="39" customHeight="1" x14ac:dyDescent="0.15">
      <c r="A1" s="322" t="s">
        <v>228</v>
      </c>
      <c r="B1" s="322"/>
      <c r="C1" s="322"/>
      <c r="D1" s="322"/>
      <c r="E1" s="322"/>
    </row>
    <row r="2" spans="1:7" ht="18" customHeight="1" x14ac:dyDescent="0.15">
      <c r="A2" s="160"/>
      <c r="B2" s="160"/>
      <c r="C2" s="160"/>
      <c r="D2" s="160"/>
      <c r="E2" s="31" t="s">
        <v>78</v>
      </c>
    </row>
    <row r="3" spans="1:7" ht="21" customHeight="1" x14ac:dyDescent="0.15">
      <c r="A3" s="323" t="s">
        <v>1</v>
      </c>
      <c r="B3" s="324"/>
      <c r="C3" s="324"/>
      <c r="D3" s="324"/>
      <c r="E3" s="325"/>
    </row>
    <row r="4" spans="1:7" ht="21" customHeight="1" thickBot="1" x14ac:dyDescent="0.2">
      <c r="A4" s="7" t="s">
        <v>2</v>
      </c>
      <c r="B4" s="8" t="s">
        <v>3</v>
      </c>
      <c r="C4" s="48" t="s">
        <v>234</v>
      </c>
      <c r="D4" s="48" t="s">
        <v>235</v>
      </c>
      <c r="E4" s="9" t="s">
        <v>4</v>
      </c>
    </row>
    <row r="5" spans="1:7" ht="21" customHeight="1" thickTop="1" x14ac:dyDescent="0.15">
      <c r="A5" s="326" t="s">
        <v>5</v>
      </c>
      <c r="B5" s="327"/>
      <c r="C5" s="10">
        <v>499800000</v>
      </c>
      <c r="D5" s="10">
        <f>D6+D7+D8+D9+D10+D11</f>
        <v>501300000</v>
      </c>
      <c r="E5" s="11">
        <f>E6+E7+E8+E9+E10+E11</f>
        <v>1500000</v>
      </c>
      <c r="G5" s="62"/>
    </row>
    <row r="6" spans="1:7" ht="21" customHeight="1" x14ac:dyDescent="0.15">
      <c r="A6" s="158" t="s">
        <v>233</v>
      </c>
      <c r="B6" s="12" t="s">
        <v>70</v>
      </c>
      <c r="C6" s="13">
        <v>67925000</v>
      </c>
      <c r="D6" s="13">
        <f>'예산내역-세입'!E7</f>
        <v>69160000</v>
      </c>
      <c r="E6" s="14">
        <f>D6-C6</f>
        <v>1235000</v>
      </c>
      <c r="F6" s="62"/>
      <c r="G6" s="62"/>
    </row>
    <row r="7" spans="1:7" ht="21" customHeight="1" x14ac:dyDescent="0.15">
      <c r="A7" s="15" t="s">
        <v>71</v>
      </c>
      <c r="B7" s="12" t="s">
        <v>72</v>
      </c>
      <c r="C7" s="13">
        <v>393186171</v>
      </c>
      <c r="D7" s="13">
        <f>'예산내역-세입'!E11</f>
        <v>393186171</v>
      </c>
      <c r="E7" s="14">
        <f t="shared" ref="E7:E11" si="0">D7-C7</f>
        <v>0</v>
      </c>
      <c r="F7" s="62"/>
    </row>
    <row r="8" spans="1:7" ht="21" customHeight="1" x14ac:dyDescent="0.15">
      <c r="A8" s="159" t="s">
        <v>74</v>
      </c>
      <c r="B8" s="12" t="s">
        <v>73</v>
      </c>
      <c r="C8" s="13">
        <v>900000</v>
      </c>
      <c r="D8" s="13">
        <f>'예산내역-세입'!E18</f>
        <v>900000</v>
      </c>
      <c r="E8" s="14">
        <f t="shared" si="0"/>
        <v>0</v>
      </c>
    </row>
    <row r="9" spans="1:7" ht="21" customHeight="1" x14ac:dyDescent="0.15">
      <c r="A9" s="15" t="s">
        <v>75</v>
      </c>
      <c r="B9" s="12" t="s">
        <v>75</v>
      </c>
      <c r="C9" s="13">
        <v>5712000</v>
      </c>
      <c r="D9" s="13">
        <f>'예산내역-세입'!E23</f>
        <v>5712000</v>
      </c>
      <c r="E9" s="14">
        <f t="shared" si="0"/>
        <v>0</v>
      </c>
    </row>
    <row r="10" spans="1:7" ht="21" customHeight="1" x14ac:dyDescent="0.15">
      <c r="A10" s="16" t="s">
        <v>76</v>
      </c>
      <c r="B10" s="17" t="s">
        <v>76</v>
      </c>
      <c r="C10" s="18">
        <v>7874002</v>
      </c>
      <c r="D10" s="18">
        <f>'예산내역-세입'!E27</f>
        <v>8139002</v>
      </c>
      <c r="E10" s="19">
        <f t="shared" si="0"/>
        <v>265000</v>
      </c>
    </row>
    <row r="11" spans="1:7" ht="21" customHeight="1" x14ac:dyDescent="0.15">
      <c r="A11" s="20" t="s">
        <v>77</v>
      </c>
      <c r="B11" s="21" t="s">
        <v>77</v>
      </c>
      <c r="C11" s="22">
        <v>24202827</v>
      </c>
      <c r="D11" s="22">
        <f>'예산내역-세입'!E35</f>
        <v>24202827</v>
      </c>
      <c r="E11" s="23">
        <f t="shared" si="0"/>
        <v>0</v>
      </c>
    </row>
    <row r="12" spans="1:7" ht="21" customHeight="1" x14ac:dyDescent="0.15">
      <c r="A12" s="82"/>
      <c r="B12" s="82"/>
      <c r="C12" s="83"/>
      <c r="D12" s="84"/>
      <c r="E12" s="85"/>
    </row>
    <row r="13" spans="1:7" ht="21" customHeight="1" x14ac:dyDescent="0.15">
      <c r="A13" s="86"/>
      <c r="B13" s="86"/>
      <c r="C13" s="86"/>
      <c r="D13" s="86"/>
      <c r="E13" s="30" t="s">
        <v>78</v>
      </c>
    </row>
    <row r="14" spans="1:7" ht="21" customHeight="1" x14ac:dyDescent="0.15">
      <c r="A14" s="323" t="s">
        <v>6</v>
      </c>
      <c r="B14" s="324"/>
      <c r="C14" s="324"/>
      <c r="D14" s="324"/>
      <c r="E14" s="325"/>
    </row>
    <row r="15" spans="1:7" ht="21" customHeight="1" thickBot="1" x14ac:dyDescent="0.2">
      <c r="A15" s="7" t="s">
        <v>7</v>
      </c>
      <c r="B15" s="8" t="s">
        <v>8</v>
      </c>
      <c r="C15" s="48" t="s">
        <v>234</v>
      </c>
      <c r="D15" s="48" t="s">
        <v>235</v>
      </c>
      <c r="E15" s="9" t="s">
        <v>9</v>
      </c>
    </row>
    <row r="16" spans="1:7" ht="21" customHeight="1" thickTop="1" x14ac:dyDescent="0.15">
      <c r="A16" s="24" t="s">
        <v>10</v>
      </c>
      <c r="B16" s="25"/>
      <c r="C16" s="10">
        <v>499800000</v>
      </c>
      <c r="D16" s="10">
        <f>SUM(D17:D24)</f>
        <v>501299999.85474932</v>
      </c>
      <c r="E16" s="26">
        <f>D16-C16</f>
        <v>1499999.8547493219</v>
      </c>
      <c r="F16" s="62"/>
    </row>
    <row r="17" spans="1:7" ht="21" customHeight="1" x14ac:dyDescent="0.15">
      <c r="A17" s="319" t="s">
        <v>79</v>
      </c>
      <c r="B17" s="27" t="s">
        <v>80</v>
      </c>
      <c r="C17" s="28">
        <v>375096171.04532349</v>
      </c>
      <c r="D17" s="28">
        <f>'예산내역-세출'!E8</f>
        <v>376599956.85474932</v>
      </c>
      <c r="E17" s="41">
        <f t="shared" ref="E17:E24" si="1">D17-C17</f>
        <v>1503785.8094258308</v>
      </c>
      <c r="F17" s="62"/>
      <c r="G17" s="62"/>
    </row>
    <row r="18" spans="1:7" ht="21" customHeight="1" x14ac:dyDescent="0.15">
      <c r="A18" s="320"/>
      <c r="B18" s="12" t="s">
        <v>82</v>
      </c>
      <c r="C18" s="29">
        <v>6580000</v>
      </c>
      <c r="D18" s="29">
        <f>'예산내역-세출'!E49</f>
        <v>6580000</v>
      </c>
      <c r="E18" s="42">
        <f t="shared" si="1"/>
        <v>0</v>
      </c>
      <c r="F18" s="62"/>
      <c r="G18" s="62"/>
    </row>
    <row r="19" spans="1:7" ht="21" customHeight="1" x14ac:dyDescent="0.15">
      <c r="A19" s="321"/>
      <c r="B19" s="12" t="s">
        <v>81</v>
      </c>
      <c r="C19" s="29">
        <v>45674700</v>
      </c>
      <c r="D19" s="29">
        <f>'예산내역-세출'!E58</f>
        <v>45674700</v>
      </c>
      <c r="E19" s="42">
        <f t="shared" si="1"/>
        <v>0</v>
      </c>
    </row>
    <row r="20" spans="1:7" ht="21" customHeight="1" x14ac:dyDescent="0.15">
      <c r="A20" s="15" t="s">
        <v>83</v>
      </c>
      <c r="B20" s="12" t="s">
        <v>84</v>
      </c>
      <c r="C20" s="29">
        <v>23041996</v>
      </c>
      <c r="D20" s="29">
        <f>'예산내역-세출'!E85</f>
        <v>23041996</v>
      </c>
      <c r="E20" s="42">
        <f t="shared" si="1"/>
        <v>0</v>
      </c>
    </row>
    <row r="21" spans="1:7" ht="21" customHeight="1" x14ac:dyDescent="0.15">
      <c r="A21" s="319" t="s">
        <v>85</v>
      </c>
      <c r="B21" s="12" t="s">
        <v>81</v>
      </c>
      <c r="C21" s="29">
        <v>27400000</v>
      </c>
      <c r="D21" s="29">
        <f>'예산내역-세출'!E99</f>
        <v>27700000</v>
      </c>
      <c r="E21" s="42">
        <f t="shared" si="1"/>
        <v>300000</v>
      </c>
    </row>
    <row r="22" spans="1:7" ht="21" customHeight="1" x14ac:dyDescent="0.15">
      <c r="A22" s="320"/>
      <c r="B22" s="12" t="s">
        <v>85</v>
      </c>
      <c r="C22" s="29">
        <v>14649930</v>
      </c>
      <c r="D22" s="29">
        <f>'예산내역-세출'!E107</f>
        <v>14649930</v>
      </c>
      <c r="E22" s="42">
        <f t="shared" si="1"/>
        <v>0</v>
      </c>
    </row>
    <row r="23" spans="1:7" ht="21" customHeight="1" x14ac:dyDescent="0.15">
      <c r="A23" s="321"/>
      <c r="B23" s="12" t="s">
        <v>87</v>
      </c>
      <c r="C23" s="29">
        <v>6973000</v>
      </c>
      <c r="D23" s="29">
        <f>'예산내역-세출'!E138</f>
        <v>6973000</v>
      </c>
      <c r="E23" s="42">
        <f t="shared" si="1"/>
        <v>0</v>
      </c>
    </row>
    <row r="24" spans="1:7" ht="21" customHeight="1" x14ac:dyDescent="0.15">
      <c r="A24" s="20" t="s">
        <v>86</v>
      </c>
      <c r="B24" s="21" t="s">
        <v>86</v>
      </c>
      <c r="C24" s="22">
        <v>384203</v>
      </c>
      <c r="D24" s="22">
        <f>'예산내역-세출'!E152</f>
        <v>80417</v>
      </c>
      <c r="E24" s="32">
        <f t="shared" si="1"/>
        <v>-303786</v>
      </c>
    </row>
    <row r="25" spans="1:7" x14ac:dyDescent="0.15">
      <c r="A25" s="4"/>
      <c r="B25" s="4"/>
    </row>
  </sheetData>
  <customSheetViews>
    <customSheetView guid="{29BE6789-D580-482F-AE13-9E62D887C1AB}" showPageBreaks="1" printArea="1" view="pageBreakPreview">
      <selection activeCell="C16" sqref="C16"/>
      <pageMargins left="0.94488188976377963" right="0.74803149606299213" top="0.98425196850393704" bottom="0.98425196850393704" header="0.51181102362204722" footer="0.51181102362204722"/>
      <pageSetup paperSize="9" firstPageNumber="185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6">
    <mergeCell ref="A17:A19"/>
    <mergeCell ref="A21:A23"/>
    <mergeCell ref="A1:E1"/>
    <mergeCell ref="A3:E3"/>
    <mergeCell ref="A5:B5"/>
    <mergeCell ref="A14:E14"/>
  </mergeCells>
  <phoneticPr fontId="2" type="noConversion"/>
  <pageMargins left="0.94488188976377963" right="0.74803149606299213" top="0.98425196850393704" bottom="0.98425196850393704" header="0.51181102362204722" footer="0.51181102362204722"/>
  <pageSetup paperSize="9" scale="81" firstPageNumber="185" orientation="portrait" useFirstPageNumber="1" r:id="rId2"/>
  <headerFooter alignWithMargins="0">
    <oddFooter xml:space="preserve">&amp;R참좋은기억학교(2024. 09. 06.)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4"/>
  <sheetViews>
    <sheetView view="pageBreakPreview" zoomScaleNormal="100" zoomScaleSheetLayoutView="100" workbookViewId="0">
      <selection sqref="A1:XFD1"/>
    </sheetView>
  </sheetViews>
  <sheetFormatPr defaultRowHeight="13.5" x14ac:dyDescent="0.15"/>
  <cols>
    <col min="1" max="1" width="9.44140625" style="33" customWidth="1"/>
    <col min="2" max="2" width="10.21875" style="33" customWidth="1"/>
    <col min="3" max="3" width="12.6640625" style="33" customWidth="1"/>
    <col min="4" max="4" width="12.6640625" style="49" customWidth="1"/>
    <col min="5" max="5" width="13" style="49" customWidth="1"/>
    <col min="6" max="6" width="11.77734375" style="49" customWidth="1"/>
    <col min="7" max="7" width="10.109375" style="183" customWidth="1"/>
    <col min="8" max="8" width="40.33203125" style="33" customWidth="1"/>
    <col min="9" max="9" width="14" style="105" bestFit="1" customWidth="1"/>
    <col min="10" max="10" width="11.44140625" style="33" bestFit="1" customWidth="1"/>
    <col min="11" max="11" width="14" style="105" bestFit="1" customWidth="1"/>
    <col min="12" max="13" width="12.44140625" style="33" bestFit="1" customWidth="1"/>
    <col min="14" max="16384" width="8.88671875" style="33"/>
  </cols>
  <sheetData>
    <row r="1" spans="1:13" ht="20.100000000000001" customHeight="1" x14ac:dyDescent="0.15">
      <c r="A1" s="335" t="s">
        <v>229</v>
      </c>
      <c r="B1" s="335"/>
      <c r="C1" s="335"/>
      <c r="D1" s="335"/>
      <c r="E1" s="335"/>
      <c r="F1" s="335"/>
      <c r="G1" s="335"/>
      <c r="H1" s="335"/>
    </row>
    <row r="2" spans="1:13" ht="20.100000000000001" customHeight="1" x14ac:dyDescent="0.15">
      <c r="A2" s="77"/>
      <c r="B2" s="77"/>
      <c r="C2" s="77"/>
      <c r="D2" s="75"/>
      <c r="E2" s="75"/>
      <c r="F2" s="75"/>
      <c r="G2" s="170"/>
      <c r="H2" s="224"/>
    </row>
    <row r="3" spans="1:13" ht="20.100000000000001" customHeight="1" x14ac:dyDescent="0.15">
      <c r="A3" s="336" t="s">
        <v>159</v>
      </c>
      <c r="B3" s="337"/>
      <c r="C3" s="337"/>
      <c r="D3" s="85"/>
      <c r="E3" s="87"/>
      <c r="F3" s="85"/>
      <c r="G3" s="171"/>
      <c r="H3" s="338" t="s">
        <v>12</v>
      </c>
      <c r="I3" s="339"/>
    </row>
    <row r="4" spans="1:13" ht="20.100000000000001" customHeight="1" x14ac:dyDescent="0.15">
      <c r="A4" s="340" t="s">
        <v>13</v>
      </c>
      <c r="B4" s="341"/>
      <c r="C4" s="324"/>
      <c r="D4" s="342" t="str">
        <f>예산총괄!C4</f>
        <v>2024년 1차 추경
(A)</v>
      </c>
      <c r="E4" s="342" t="str">
        <f>예산총괄!D4</f>
        <v>2024년 2차 추경
(B)</v>
      </c>
      <c r="F4" s="344" t="s">
        <v>4</v>
      </c>
      <c r="G4" s="344"/>
      <c r="H4" s="345" t="s">
        <v>14</v>
      </c>
      <c r="I4" s="346"/>
    </row>
    <row r="5" spans="1:13" ht="22.5" customHeight="1" thickBot="1" x14ac:dyDescent="0.2">
      <c r="A5" s="7" t="s">
        <v>15</v>
      </c>
      <c r="B5" s="106" t="s">
        <v>16</v>
      </c>
      <c r="C5" s="106" t="s">
        <v>17</v>
      </c>
      <c r="D5" s="343"/>
      <c r="E5" s="343"/>
      <c r="F5" s="89" t="s">
        <v>145</v>
      </c>
      <c r="G5" s="172" t="s">
        <v>18</v>
      </c>
      <c r="H5" s="347"/>
      <c r="I5" s="348"/>
    </row>
    <row r="6" spans="1:13" ht="20.100000000000001" customHeight="1" thickTop="1" x14ac:dyDescent="0.15">
      <c r="A6" s="326" t="s">
        <v>233</v>
      </c>
      <c r="B6" s="349"/>
      <c r="C6" s="350"/>
      <c r="D6" s="90">
        <v>499800000</v>
      </c>
      <c r="E6" s="90">
        <f>E7+E11+E27+E35+E23+E18</f>
        <v>501300000</v>
      </c>
      <c r="F6" s="91">
        <f>E6-D6</f>
        <v>1500000</v>
      </c>
      <c r="G6" s="173">
        <f>F6/E6*100</f>
        <v>0.29922202274087373</v>
      </c>
      <c r="H6" s="251"/>
      <c r="I6" s="252"/>
      <c r="J6" s="49"/>
    </row>
    <row r="7" spans="1:13" ht="20.100000000000001" customHeight="1" x14ac:dyDescent="0.15">
      <c r="A7" s="328" t="s">
        <v>27</v>
      </c>
      <c r="B7" s="329"/>
      <c r="C7" s="330"/>
      <c r="D7" s="92">
        <v>67925000</v>
      </c>
      <c r="E7" s="92">
        <f>I10</f>
        <v>69160000</v>
      </c>
      <c r="F7" s="91">
        <f t="shared" ref="F7:F37" si="0">E7-D7</f>
        <v>1235000</v>
      </c>
      <c r="G7" s="173">
        <f>F7/E7*100</f>
        <v>1.7857142857142856</v>
      </c>
      <c r="H7" s="253" t="s">
        <v>28</v>
      </c>
      <c r="I7" s="254"/>
    </row>
    <row r="8" spans="1:13" ht="20.100000000000001" customHeight="1" x14ac:dyDescent="0.15">
      <c r="A8" s="320"/>
      <c r="B8" s="331" t="s">
        <v>28</v>
      </c>
      <c r="C8" s="330"/>
      <c r="D8" s="93">
        <v>67925000</v>
      </c>
      <c r="E8" s="93">
        <f>E9</f>
        <v>69160000</v>
      </c>
      <c r="F8" s="94">
        <f t="shared" si="0"/>
        <v>1235000</v>
      </c>
      <c r="G8" s="174">
        <f>F8/E8*100</f>
        <v>1.7857142857142856</v>
      </c>
      <c r="H8" s="253" t="s">
        <v>28</v>
      </c>
      <c r="I8" s="254"/>
      <c r="J8" s="49"/>
    </row>
    <row r="9" spans="1:13" ht="20.100000000000001" customHeight="1" x14ac:dyDescent="0.15">
      <c r="A9" s="320"/>
      <c r="B9" s="351"/>
      <c r="C9" s="34" t="s">
        <v>28</v>
      </c>
      <c r="D9" s="95">
        <v>67925000</v>
      </c>
      <c r="E9" s="95">
        <f>I10</f>
        <v>69160000</v>
      </c>
      <c r="F9" s="99">
        <f t="shared" si="0"/>
        <v>1235000</v>
      </c>
      <c r="G9" s="175">
        <f>F9/E9*100</f>
        <v>1.7857142857142856</v>
      </c>
      <c r="H9" s="255" t="s">
        <v>28</v>
      </c>
      <c r="I9" s="256"/>
    </row>
    <row r="10" spans="1:13" ht="20.100000000000001" customHeight="1" x14ac:dyDescent="0.15">
      <c r="A10" s="320"/>
      <c r="B10" s="351"/>
      <c r="C10" s="81"/>
      <c r="D10" s="96"/>
      <c r="E10" s="96"/>
      <c r="F10" s="97"/>
      <c r="G10" s="176"/>
      <c r="H10" s="257" t="s">
        <v>246</v>
      </c>
      <c r="I10" s="258">
        <f>10000*28*247</f>
        <v>69160000</v>
      </c>
    </row>
    <row r="11" spans="1:13" ht="20.100000000000001" customHeight="1" x14ac:dyDescent="0.15">
      <c r="A11" s="328" t="s">
        <v>29</v>
      </c>
      <c r="B11" s="329"/>
      <c r="C11" s="330"/>
      <c r="D11" s="98">
        <v>393186171</v>
      </c>
      <c r="E11" s="98">
        <f>E12</f>
        <v>393186171</v>
      </c>
      <c r="F11" s="92">
        <f t="shared" si="0"/>
        <v>0</v>
      </c>
      <c r="G11" s="177">
        <f>F11/E11*100</f>
        <v>0</v>
      </c>
      <c r="H11" s="253" t="s">
        <v>29</v>
      </c>
      <c r="I11" s="254"/>
      <c r="J11" s="49"/>
    </row>
    <row r="12" spans="1:13" ht="20.100000000000001" customHeight="1" x14ac:dyDescent="0.15">
      <c r="A12" s="107"/>
      <c r="B12" s="331" t="s">
        <v>29</v>
      </c>
      <c r="C12" s="330"/>
      <c r="D12" s="95">
        <v>393186171</v>
      </c>
      <c r="E12" s="95">
        <f>SUM(E13:E17)</f>
        <v>393186171</v>
      </c>
      <c r="F12" s="94">
        <f t="shared" si="0"/>
        <v>0</v>
      </c>
      <c r="G12" s="174">
        <f>F12/E12*100</f>
        <v>0</v>
      </c>
      <c r="H12" s="253" t="s">
        <v>35</v>
      </c>
      <c r="I12" s="254"/>
      <c r="M12" s="105"/>
    </row>
    <row r="13" spans="1:13" ht="20.100000000000001" customHeight="1" x14ac:dyDescent="0.15">
      <c r="A13" s="107" t="s">
        <v>121</v>
      </c>
      <c r="B13" s="237"/>
      <c r="C13" s="108" t="s">
        <v>108</v>
      </c>
      <c r="D13" s="29">
        <v>0</v>
      </c>
      <c r="E13" s="29">
        <v>0</v>
      </c>
      <c r="F13" s="93">
        <f>E13-D13</f>
        <v>0</v>
      </c>
      <c r="G13" s="174">
        <v>0</v>
      </c>
      <c r="H13" s="253" t="s">
        <v>107</v>
      </c>
      <c r="I13" s="254"/>
      <c r="M13" s="78"/>
    </row>
    <row r="14" spans="1:13" ht="20.100000000000001" customHeight="1" x14ac:dyDescent="0.15">
      <c r="A14" s="107"/>
      <c r="B14" s="237"/>
      <c r="C14" s="34" t="s">
        <v>109</v>
      </c>
      <c r="D14" s="95">
        <v>0</v>
      </c>
      <c r="E14" s="95">
        <v>0</v>
      </c>
      <c r="F14" s="99">
        <f t="shared" si="0"/>
        <v>0</v>
      </c>
      <c r="G14" s="174">
        <v>0</v>
      </c>
      <c r="H14" s="253" t="s">
        <v>129</v>
      </c>
      <c r="I14" s="254"/>
      <c r="L14" s="78"/>
    </row>
    <row r="15" spans="1:13" ht="20.100000000000001" customHeight="1" x14ac:dyDescent="0.15">
      <c r="A15" s="107"/>
      <c r="B15" s="237"/>
      <c r="C15" s="34" t="s">
        <v>110</v>
      </c>
      <c r="D15" s="95">
        <v>393186171</v>
      </c>
      <c r="E15" s="95">
        <f>I16+I17</f>
        <v>393186171</v>
      </c>
      <c r="F15" s="99">
        <f t="shared" si="0"/>
        <v>0</v>
      </c>
      <c r="G15" s="175">
        <f>F15/E15*100</f>
        <v>0</v>
      </c>
      <c r="H15" s="255" t="s">
        <v>106</v>
      </c>
      <c r="I15" s="256"/>
    </row>
    <row r="16" spans="1:13" ht="20.100000000000001" customHeight="1" x14ac:dyDescent="0.15">
      <c r="A16" s="107"/>
      <c r="B16" s="237"/>
      <c r="C16" s="81"/>
      <c r="D16" s="96"/>
      <c r="E16" s="96"/>
      <c r="F16" s="97"/>
      <c r="G16" s="178"/>
      <c r="H16" s="259" t="s">
        <v>209</v>
      </c>
      <c r="I16" s="258">
        <f>92796542.75*4</f>
        <v>371186171</v>
      </c>
      <c r="J16" s="105"/>
      <c r="L16" s="49"/>
    </row>
    <row r="17" spans="1:12" ht="20.100000000000001" customHeight="1" x14ac:dyDescent="0.15">
      <c r="A17" s="107"/>
      <c r="B17" s="237"/>
      <c r="C17" s="81"/>
      <c r="D17" s="96"/>
      <c r="E17" s="96"/>
      <c r="F17" s="97"/>
      <c r="G17" s="176"/>
      <c r="H17" s="259" t="s">
        <v>128</v>
      </c>
      <c r="I17" s="258">
        <f>5500000*4</f>
        <v>22000000</v>
      </c>
      <c r="J17" s="105"/>
      <c r="L17" s="49"/>
    </row>
    <row r="18" spans="1:12" ht="20.100000000000001" customHeight="1" x14ac:dyDescent="0.15">
      <c r="A18" s="328" t="s">
        <v>30</v>
      </c>
      <c r="B18" s="329"/>
      <c r="C18" s="330"/>
      <c r="D18" s="98">
        <v>900000</v>
      </c>
      <c r="E18" s="98">
        <f>E19</f>
        <v>900000</v>
      </c>
      <c r="F18" s="92">
        <f t="shared" ref="F18:F31" si="1">E18-D18</f>
        <v>0</v>
      </c>
      <c r="G18" s="174">
        <f>F18/E18*100</f>
        <v>0</v>
      </c>
      <c r="H18" s="253" t="s">
        <v>30</v>
      </c>
      <c r="I18" s="254"/>
      <c r="L18" s="78"/>
    </row>
    <row r="19" spans="1:12" ht="20.100000000000001" customHeight="1" x14ac:dyDescent="0.15">
      <c r="A19" s="107"/>
      <c r="B19" s="331" t="s">
        <v>30</v>
      </c>
      <c r="C19" s="330"/>
      <c r="D19" s="29">
        <v>900000</v>
      </c>
      <c r="E19" s="29">
        <f>SUM(E20:E22)</f>
        <v>900000</v>
      </c>
      <c r="F19" s="94">
        <f t="shared" si="1"/>
        <v>0</v>
      </c>
      <c r="G19" s="174">
        <f>F19/E19*100</f>
        <v>0</v>
      </c>
      <c r="H19" s="253" t="s">
        <v>30</v>
      </c>
      <c r="I19" s="254"/>
      <c r="L19" s="78"/>
    </row>
    <row r="20" spans="1:12" ht="20.100000000000001" customHeight="1" x14ac:dyDescent="0.15">
      <c r="A20" s="107"/>
      <c r="B20" s="109"/>
      <c r="C20" s="108" t="s">
        <v>31</v>
      </c>
      <c r="D20" s="29">
        <v>0</v>
      </c>
      <c r="E20" s="29">
        <f>I20</f>
        <v>0</v>
      </c>
      <c r="F20" s="97">
        <f t="shared" si="1"/>
        <v>0</v>
      </c>
      <c r="G20" s="167">
        <v>0</v>
      </c>
      <c r="H20" s="253" t="s">
        <v>31</v>
      </c>
      <c r="I20" s="254">
        <v>0</v>
      </c>
      <c r="L20" s="78"/>
    </row>
    <row r="21" spans="1:12" ht="20.100000000000001" customHeight="1" x14ac:dyDescent="0.15">
      <c r="A21" s="107"/>
      <c r="B21" s="237"/>
      <c r="C21" s="34" t="s">
        <v>32</v>
      </c>
      <c r="D21" s="95">
        <v>900000</v>
      </c>
      <c r="E21" s="95">
        <f>I22</f>
        <v>900000</v>
      </c>
      <c r="F21" s="99">
        <f t="shared" si="1"/>
        <v>0</v>
      </c>
      <c r="G21" s="168">
        <f>F21/E21*100</f>
        <v>0</v>
      </c>
      <c r="H21" s="255" t="s">
        <v>32</v>
      </c>
      <c r="I21" s="256"/>
      <c r="L21" s="78"/>
    </row>
    <row r="22" spans="1:12" ht="20.100000000000001" customHeight="1" x14ac:dyDescent="0.15">
      <c r="A22" s="107"/>
      <c r="B22" s="237"/>
      <c r="C22" s="81"/>
      <c r="D22" s="96"/>
      <c r="E22" s="96"/>
      <c r="F22" s="94"/>
      <c r="G22" s="169"/>
      <c r="H22" s="259" t="s">
        <v>177</v>
      </c>
      <c r="I22" s="258">
        <f>100000*9</f>
        <v>900000</v>
      </c>
      <c r="L22" s="78"/>
    </row>
    <row r="23" spans="1:12" ht="20.100000000000001" customHeight="1" x14ac:dyDescent="0.15">
      <c r="A23" s="328" t="s">
        <v>34</v>
      </c>
      <c r="B23" s="329"/>
      <c r="C23" s="330"/>
      <c r="D23" s="98">
        <v>5712000</v>
      </c>
      <c r="E23" s="98">
        <f>I26+I24</f>
        <v>5712000</v>
      </c>
      <c r="F23" s="91">
        <f t="shared" si="1"/>
        <v>0</v>
      </c>
      <c r="G23" s="167">
        <f>F23/E23*100</f>
        <v>0</v>
      </c>
      <c r="H23" s="253" t="s">
        <v>34</v>
      </c>
      <c r="I23" s="254"/>
      <c r="L23" s="49"/>
    </row>
    <row r="24" spans="1:12" ht="20.100000000000001" customHeight="1" x14ac:dyDescent="0.15">
      <c r="A24" s="107"/>
      <c r="B24" s="331" t="s">
        <v>34</v>
      </c>
      <c r="C24" s="330"/>
      <c r="D24" s="29">
        <v>5712000</v>
      </c>
      <c r="E24" s="29">
        <f>I26</f>
        <v>5712000</v>
      </c>
      <c r="F24" s="94">
        <f t="shared" si="1"/>
        <v>0</v>
      </c>
      <c r="G24" s="167">
        <f>F24/E24*100</f>
        <v>0</v>
      </c>
      <c r="H24" s="253" t="s">
        <v>34</v>
      </c>
      <c r="I24" s="254">
        <v>0</v>
      </c>
      <c r="L24" s="78"/>
    </row>
    <row r="25" spans="1:12" ht="20.100000000000001" customHeight="1" x14ac:dyDescent="0.15">
      <c r="A25" s="232"/>
      <c r="B25" s="237"/>
      <c r="C25" s="34" t="s">
        <v>180</v>
      </c>
      <c r="D25" s="95">
        <v>5712000</v>
      </c>
      <c r="E25" s="95">
        <v>5712000</v>
      </c>
      <c r="F25" s="99">
        <f t="shared" ref="F25" si="2">E25-D25</f>
        <v>0</v>
      </c>
      <c r="G25" s="221">
        <f>F25/E25*100</f>
        <v>0</v>
      </c>
      <c r="H25" s="255" t="s">
        <v>180</v>
      </c>
      <c r="I25" s="256"/>
      <c r="L25" s="78"/>
    </row>
    <row r="26" spans="1:12" ht="20.100000000000001" customHeight="1" x14ac:dyDescent="0.15">
      <c r="A26" s="223"/>
      <c r="B26" s="110"/>
      <c r="C26" s="117"/>
      <c r="D26" s="220"/>
      <c r="E26" s="220"/>
      <c r="F26" s="101"/>
      <c r="G26" s="222"/>
      <c r="H26" s="260" t="s">
        <v>181</v>
      </c>
      <c r="I26" s="261">
        <f>476000*12</f>
        <v>5712000</v>
      </c>
      <c r="L26" s="78"/>
    </row>
    <row r="27" spans="1:12" ht="20.100000000000001" customHeight="1" x14ac:dyDescent="0.15">
      <c r="A27" s="332" t="s">
        <v>21</v>
      </c>
      <c r="B27" s="333"/>
      <c r="C27" s="334"/>
      <c r="D27" s="100">
        <v>7874002</v>
      </c>
      <c r="E27" s="100">
        <f>E28</f>
        <v>8139002</v>
      </c>
      <c r="F27" s="100">
        <f t="shared" si="1"/>
        <v>265000</v>
      </c>
      <c r="G27" s="179">
        <f>F27/E27*100</f>
        <v>3.2559274466328918</v>
      </c>
      <c r="H27" s="262" t="s">
        <v>21</v>
      </c>
      <c r="I27" s="263"/>
      <c r="K27" s="111"/>
    </row>
    <row r="28" spans="1:12" ht="20.100000000000001" customHeight="1" x14ac:dyDescent="0.15">
      <c r="A28" s="112"/>
      <c r="B28" s="113" t="s">
        <v>21</v>
      </c>
      <c r="C28" s="114"/>
      <c r="D28" s="94">
        <v>7874002</v>
      </c>
      <c r="E28" s="94">
        <f>E29+E31</f>
        <v>8139002</v>
      </c>
      <c r="F28" s="94">
        <f t="shared" si="1"/>
        <v>265000</v>
      </c>
      <c r="G28" s="174">
        <f>F28/E28*100</f>
        <v>3.2559274466328918</v>
      </c>
      <c r="H28" s="251" t="s">
        <v>21</v>
      </c>
      <c r="I28" s="264"/>
    </row>
    <row r="29" spans="1:12" ht="20.100000000000001" customHeight="1" x14ac:dyDescent="0.15">
      <c r="A29" s="112"/>
      <c r="B29" s="109"/>
      <c r="C29" s="81" t="s">
        <v>89</v>
      </c>
      <c r="D29" s="97">
        <v>20000</v>
      </c>
      <c r="E29" s="97">
        <f>I30</f>
        <v>20000</v>
      </c>
      <c r="F29" s="97">
        <f t="shared" si="1"/>
        <v>0</v>
      </c>
      <c r="G29" s="178">
        <f>F29/E29*100</f>
        <v>0</v>
      </c>
      <c r="H29" s="259" t="s">
        <v>89</v>
      </c>
      <c r="I29" s="258"/>
    </row>
    <row r="30" spans="1:12" ht="20.100000000000001" customHeight="1" x14ac:dyDescent="0.15">
      <c r="A30" s="80"/>
      <c r="B30" s="109"/>
      <c r="C30" s="108"/>
      <c r="D30" s="94"/>
      <c r="E30" s="94"/>
      <c r="F30" s="94"/>
      <c r="G30" s="176"/>
      <c r="H30" s="259" t="s">
        <v>204</v>
      </c>
      <c r="I30" s="258">
        <f>10000*2</f>
        <v>20000</v>
      </c>
    </row>
    <row r="31" spans="1:12" ht="20.100000000000001" customHeight="1" x14ac:dyDescent="0.15">
      <c r="A31" s="80"/>
      <c r="B31" s="81"/>
      <c r="C31" s="34" t="s">
        <v>33</v>
      </c>
      <c r="D31" s="99">
        <v>7854002</v>
      </c>
      <c r="E31" s="99">
        <f>I32+I33+I34</f>
        <v>8119002</v>
      </c>
      <c r="F31" s="99">
        <f t="shared" si="1"/>
        <v>265000</v>
      </c>
      <c r="G31" s="180">
        <f>F31/E31*100</f>
        <v>3.2639479581357413</v>
      </c>
      <c r="H31" s="255" t="s">
        <v>33</v>
      </c>
      <c r="I31" s="256"/>
    </row>
    <row r="32" spans="1:12" ht="20.100000000000001" customHeight="1" x14ac:dyDescent="0.15">
      <c r="A32" s="80"/>
      <c r="B32" s="109"/>
      <c r="C32" s="81"/>
      <c r="D32" s="97"/>
      <c r="E32" s="97"/>
      <c r="F32" s="97"/>
      <c r="G32" s="178"/>
      <c r="H32" s="259" t="s">
        <v>136</v>
      </c>
      <c r="I32" s="258">
        <f>50000*10*12</f>
        <v>6000000</v>
      </c>
    </row>
    <row r="33" spans="1:10" ht="20.100000000000001" customHeight="1" x14ac:dyDescent="0.15">
      <c r="A33" s="80"/>
      <c r="B33" s="109"/>
      <c r="C33" s="81"/>
      <c r="D33" s="97"/>
      <c r="E33" s="97"/>
      <c r="F33" s="97"/>
      <c r="G33" s="178"/>
      <c r="H33" s="259" t="s">
        <v>164</v>
      </c>
      <c r="I33" s="258">
        <f>150000*12</f>
        <v>1800000</v>
      </c>
    </row>
    <row r="34" spans="1:10" ht="20.100000000000001" customHeight="1" x14ac:dyDescent="0.15">
      <c r="A34" s="80"/>
      <c r="B34" s="109"/>
      <c r="C34" s="81"/>
      <c r="D34" s="97"/>
      <c r="E34" s="97"/>
      <c r="F34" s="97"/>
      <c r="G34" s="178"/>
      <c r="H34" s="259" t="s">
        <v>254</v>
      </c>
      <c r="I34" s="258">
        <f>319002</f>
        <v>319002</v>
      </c>
      <c r="J34" s="49"/>
    </row>
    <row r="35" spans="1:10" ht="20.100000000000001" customHeight="1" x14ac:dyDescent="0.15">
      <c r="A35" s="235" t="s">
        <v>19</v>
      </c>
      <c r="B35" s="236"/>
      <c r="C35" s="234"/>
      <c r="D35" s="92">
        <v>24202827</v>
      </c>
      <c r="E35" s="92">
        <f>E36</f>
        <v>24202827</v>
      </c>
      <c r="F35" s="92">
        <f>E35-D35</f>
        <v>0</v>
      </c>
      <c r="G35" s="181">
        <f>F35/E35*100</f>
        <v>0</v>
      </c>
      <c r="H35" s="265" t="s">
        <v>171</v>
      </c>
      <c r="I35" s="254"/>
      <c r="J35" s="105"/>
    </row>
    <row r="36" spans="1:10" ht="20.100000000000001" customHeight="1" x14ac:dyDescent="0.15">
      <c r="A36" s="80"/>
      <c r="B36" s="233" t="s">
        <v>20</v>
      </c>
      <c r="C36" s="234"/>
      <c r="D36" s="93">
        <v>24202827</v>
      </c>
      <c r="E36" s="93">
        <f>E37</f>
        <v>24202827</v>
      </c>
      <c r="F36" s="94">
        <f t="shared" si="0"/>
        <v>0</v>
      </c>
      <c r="G36" s="174">
        <f>F36/E36*100</f>
        <v>0</v>
      </c>
      <c r="H36" s="253" t="s">
        <v>105</v>
      </c>
      <c r="I36" s="254"/>
      <c r="J36" s="105"/>
    </row>
    <row r="37" spans="1:10" ht="20.100000000000001" customHeight="1" x14ac:dyDescent="0.15">
      <c r="A37" s="80"/>
      <c r="B37" s="115"/>
      <c r="C37" s="34" t="s">
        <v>105</v>
      </c>
      <c r="D37" s="99">
        <v>24202827</v>
      </c>
      <c r="E37" s="99">
        <f>I41+I39+I38+I40</f>
        <v>24202827</v>
      </c>
      <c r="F37" s="97">
        <f t="shared" si="0"/>
        <v>0</v>
      </c>
      <c r="G37" s="180">
        <f>F37/E37*100</f>
        <v>0</v>
      </c>
      <c r="H37" s="266" t="s">
        <v>105</v>
      </c>
      <c r="I37" s="258"/>
      <c r="J37" s="105"/>
    </row>
    <row r="38" spans="1:10" ht="20.100000000000001" customHeight="1" x14ac:dyDescent="0.15">
      <c r="A38" s="80"/>
      <c r="B38" s="109"/>
      <c r="C38" s="109"/>
      <c r="D38" s="97"/>
      <c r="E38" s="97"/>
      <c r="F38" s="97"/>
      <c r="G38" s="175"/>
      <c r="H38" s="267" t="s">
        <v>205</v>
      </c>
      <c r="I38" s="258">
        <v>22802901</v>
      </c>
    </row>
    <row r="39" spans="1:10" ht="20.100000000000001" customHeight="1" x14ac:dyDescent="0.15">
      <c r="A39" s="80"/>
      <c r="B39" s="109"/>
      <c r="C39" s="109"/>
      <c r="D39" s="97"/>
      <c r="E39" s="97"/>
      <c r="F39" s="97"/>
      <c r="G39" s="178"/>
      <c r="H39" s="268" t="s">
        <v>208</v>
      </c>
      <c r="I39" s="258">
        <f>476051*1</f>
        <v>476051</v>
      </c>
    </row>
    <row r="40" spans="1:10" ht="20.100000000000001" customHeight="1" x14ac:dyDescent="0.15">
      <c r="A40" s="80"/>
      <c r="B40" s="109"/>
      <c r="C40" s="109"/>
      <c r="D40" s="97"/>
      <c r="E40" s="97"/>
      <c r="F40" s="97"/>
      <c r="G40" s="178"/>
      <c r="H40" s="268" t="s">
        <v>207</v>
      </c>
      <c r="I40" s="258">
        <f>286796*1</f>
        <v>286796</v>
      </c>
    </row>
    <row r="41" spans="1:10" ht="20.100000000000001" customHeight="1" x14ac:dyDescent="0.15">
      <c r="A41" s="116"/>
      <c r="B41" s="117"/>
      <c r="C41" s="118"/>
      <c r="D41" s="101"/>
      <c r="E41" s="101"/>
      <c r="F41" s="101"/>
      <c r="G41" s="182"/>
      <c r="H41" s="269" t="s">
        <v>206</v>
      </c>
      <c r="I41" s="261">
        <f>637079*1</f>
        <v>637079</v>
      </c>
    </row>
    <row r="42" spans="1:10" x14ac:dyDescent="0.15">
      <c r="A42" s="103"/>
      <c r="B42" s="103"/>
      <c r="C42" s="103"/>
      <c r="D42" s="119"/>
      <c r="E42" s="102"/>
      <c r="F42" s="102"/>
      <c r="G42" s="171"/>
    </row>
    <row r="43" spans="1:10" x14ac:dyDescent="0.15">
      <c r="A43" s="103"/>
      <c r="B43" s="103"/>
      <c r="C43" s="103"/>
      <c r="D43" s="102"/>
      <c r="E43" s="102"/>
      <c r="F43" s="102"/>
      <c r="G43" s="171"/>
    </row>
    <row r="44" spans="1:10" x14ac:dyDescent="0.15">
      <c r="A44" s="103"/>
      <c r="B44" s="103"/>
      <c r="C44" s="103"/>
      <c r="D44" s="102"/>
      <c r="E44" s="102"/>
      <c r="F44" s="102"/>
      <c r="G44" s="171"/>
    </row>
  </sheetData>
  <customSheetViews>
    <customSheetView guid="{29BE6789-D580-482F-AE13-9E62D887C1AB}" showPageBreaks="1" printArea="1" view="pageBreakPreview" topLeftCell="B19">
      <selection activeCell="H143" sqref="H143"/>
      <rowBreaks count="1" manualBreakCount="1">
        <brk id="26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20">
    <mergeCell ref="B12:C12"/>
    <mergeCell ref="A11:C11"/>
    <mergeCell ref="A1:H1"/>
    <mergeCell ref="A3:C3"/>
    <mergeCell ref="H3:I3"/>
    <mergeCell ref="A4:C4"/>
    <mergeCell ref="D4:D5"/>
    <mergeCell ref="E4:E5"/>
    <mergeCell ref="F4:G4"/>
    <mergeCell ref="H4:I5"/>
    <mergeCell ref="A6:C6"/>
    <mergeCell ref="A7:C7"/>
    <mergeCell ref="A8:A10"/>
    <mergeCell ref="B8:C8"/>
    <mergeCell ref="B9:B10"/>
    <mergeCell ref="A18:C18"/>
    <mergeCell ref="B19:C19"/>
    <mergeCell ref="A23:C23"/>
    <mergeCell ref="B24:C24"/>
    <mergeCell ref="A27:C27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81" firstPageNumber="3" fitToWidth="0" fitToHeight="0" orientation="landscape" useFirstPageNumber="1" r:id="rId2"/>
  <headerFooter alignWithMargins="0">
    <oddFooter xml:space="preserve">&amp;R참좋은기억학교(2024. 09. 06.)
</oddFooter>
  </headerFooter>
  <rowBreaks count="1" manualBreakCount="1">
    <brk id="2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164"/>
  <sheetViews>
    <sheetView view="pageBreakPreview" zoomScaleNormal="100" zoomScaleSheetLayoutView="100" workbookViewId="0">
      <selection sqref="A1:H1"/>
    </sheetView>
  </sheetViews>
  <sheetFormatPr defaultRowHeight="13.5" x14ac:dyDescent="0.15"/>
  <cols>
    <col min="1" max="1" width="9.44140625" style="33" customWidth="1"/>
    <col min="2" max="2" width="10.21875" style="33" customWidth="1"/>
    <col min="3" max="3" width="12.6640625" style="33" customWidth="1"/>
    <col min="4" max="4" width="12.6640625" style="49" customWidth="1"/>
    <col min="5" max="5" width="13" style="74" customWidth="1"/>
    <col min="6" max="6" width="11.77734375" style="248" customWidth="1"/>
    <col min="7" max="7" width="10.109375" style="249" customWidth="1"/>
    <col min="8" max="8" width="40.33203125" style="243" customWidth="1"/>
    <col min="9" max="9" width="14" style="105" customWidth="1"/>
    <col min="10" max="10" width="14.44140625" style="33" bestFit="1" customWidth="1"/>
    <col min="11" max="11" width="20.77734375" style="33" bestFit="1" customWidth="1"/>
    <col min="12" max="12" width="15" style="60" bestFit="1" customWidth="1"/>
    <col min="13" max="13" width="15.5546875" style="33" bestFit="1" customWidth="1"/>
    <col min="14" max="16384" width="8.88671875" style="33"/>
  </cols>
  <sheetData>
    <row r="1" spans="1:13" s="38" customFormat="1" ht="20.100000000000001" customHeight="1" x14ac:dyDescent="0.15">
      <c r="A1" s="335" t="s">
        <v>230</v>
      </c>
      <c r="B1" s="335"/>
      <c r="C1" s="335"/>
      <c r="D1" s="335"/>
      <c r="E1" s="335"/>
      <c r="F1" s="335"/>
      <c r="G1" s="335"/>
      <c r="H1" s="335"/>
      <c r="I1" s="105"/>
      <c r="L1" s="68"/>
    </row>
    <row r="2" spans="1:13" s="38" customFormat="1" ht="20.100000000000001" customHeight="1" x14ac:dyDescent="0.15">
      <c r="A2" s="65"/>
      <c r="B2" s="65"/>
      <c r="C2" s="66"/>
      <c r="D2" s="67"/>
      <c r="E2" s="73"/>
      <c r="F2" s="241"/>
      <c r="G2" s="242"/>
      <c r="H2" s="243"/>
      <c r="I2" s="105"/>
      <c r="L2" s="68"/>
    </row>
    <row r="3" spans="1:13" s="103" customFormat="1" ht="20.100000000000001" customHeight="1" x14ac:dyDescent="0.15">
      <c r="A3" s="336" t="s">
        <v>159</v>
      </c>
      <c r="B3" s="336"/>
      <c r="C3" s="336"/>
      <c r="D3" s="102"/>
      <c r="E3" s="120"/>
      <c r="F3" s="244"/>
      <c r="G3" s="245"/>
      <c r="H3" s="361" t="s">
        <v>12</v>
      </c>
      <c r="I3" s="362"/>
      <c r="L3" s="104"/>
    </row>
    <row r="4" spans="1:13" s="103" customFormat="1" ht="20.100000000000001" customHeight="1" x14ac:dyDescent="0.15">
      <c r="A4" s="323" t="s">
        <v>13</v>
      </c>
      <c r="B4" s="344"/>
      <c r="C4" s="344"/>
      <c r="D4" s="342" t="str">
        <f>예산총괄!C4</f>
        <v>2024년 1차 추경
(A)</v>
      </c>
      <c r="E4" s="342" t="str">
        <f>예산총괄!D4</f>
        <v>2024년 2차 추경
(B)</v>
      </c>
      <c r="F4" s="354" t="s">
        <v>4</v>
      </c>
      <c r="G4" s="354"/>
      <c r="H4" s="355" t="s">
        <v>14</v>
      </c>
      <c r="I4" s="356"/>
      <c r="L4" s="104"/>
    </row>
    <row r="5" spans="1:13" s="103" customFormat="1" ht="22.5" customHeight="1" thickBot="1" x14ac:dyDescent="0.2">
      <c r="A5" s="7" t="s">
        <v>15</v>
      </c>
      <c r="B5" s="106" t="s">
        <v>16</v>
      </c>
      <c r="C5" s="106" t="s">
        <v>17</v>
      </c>
      <c r="D5" s="363"/>
      <c r="E5" s="363"/>
      <c r="F5" s="246" t="s">
        <v>145</v>
      </c>
      <c r="G5" s="247" t="s">
        <v>18</v>
      </c>
      <c r="H5" s="357"/>
      <c r="I5" s="358"/>
      <c r="J5" s="88"/>
      <c r="K5" s="102"/>
      <c r="L5" s="104"/>
    </row>
    <row r="6" spans="1:13" s="103" customFormat="1" ht="20.100000000000001" customHeight="1" thickTop="1" x14ac:dyDescent="0.15">
      <c r="A6" s="359" t="s">
        <v>233</v>
      </c>
      <c r="B6" s="360"/>
      <c r="C6" s="360"/>
      <c r="D6" s="121">
        <v>499800000.04532349</v>
      </c>
      <c r="E6" s="121">
        <f>E7+E85+E98+E152</f>
        <v>501299999.85474932</v>
      </c>
      <c r="F6" s="90">
        <f>E6-D6</f>
        <v>1499999.8094258308</v>
      </c>
      <c r="G6" s="162">
        <f>F6/E6*100</f>
        <v>0.29922198481158047</v>
      </c>
      <c r="H6" s="270"/>
      <c r="I6" s="258"/>
      <c r="J6" s="102"/>
      <c r="K6" s="102"/>
      <c r="L6" s="104"/>
    </row>
    <row r="7" spans="1:13" s="103" customFormat="1" ht="20.100000000000001" customHeight="1" x14ac:dyDescent="0.15">
      <c r="A7" s="235" t="s">
        <v>22</v>
      </c>
      <c r="B7" s="140"/>
      <c r="C7" s="234"/>
      <c r="D7" s="122">
        <v>427350871.04532349</v>
      </c>
      <c r="E7" s="122">
        <f>E8+E49+E58</f>
        <v>428854656.85474932</v>
      </c>
      <c r="F7" s="123">
        <f t="shared" ref="F7:F156" si="0">E7-D7</f>
        <v>1503785.8094258308</v>
      </c>
      <c r="G7" s="162">
        <f>F7/E7*100</f>
        <v>0.35065162179995979</v>
      </c>
      <c r="H7" s="271" t="s">
        <v>22</v>
      </c>
      <c r="I7" s="254"/>
      <c r="J7" s="102"/>
      <c r="K7" s="102"/>
      <c r="L7" s="104"/>
      <c r="M7" s="141"/>
    </row>
    <row r="8" spans="1:13" s="103" customFormat="1" ht="20.25" customHeight="1" x14ac:dyDescent="0.15">
      <c r="A8" s="80"/>
      <c r="B8" s="233" t="s">
        <v>23</v>
      </c>
      <c r="C8" s="234"/>
      <c r="D8" s="124">
        <v>375096171.04532349</v>
      </c>
      <c r="E8" s="124">
        <f>E9+E27+E36+E38+E44</f>
        <v>376599956.85474932</v>
      </c>
      <c r="F8" s="125">
        <f t="shared" si="0"/>
        <v>1503785.8094258308</v>
      </c>
      <c r="G8" s="163">
        <f>F8/E8*100</f>
        <v>0.39930588999133243</v>
      </c>
      <c r="H8" s="272" t="s">
        <v>23</v>
      </c>
      <c r="I8" s="254"/>
      <c r="L8" s="104"/>
    </row>
    <row r="9" spans="1:13" s="103" customFormat="1" ht="20.100000000000001" customHeight="1" x14ac:dyDescent="0.15">
      <c r="A9" s="80"/>
      <c r="B9" s="81"/>
      <c r="C9" s="34" t="s">
        <v>36</v>
      </c>
      <c r="D9" s="126">
        <v>274566400</v>
      </c>
      <c r="E9" s="126">
        <f>I9</f>
        <v>275209100</v>
      </c>
      <c r="F9" s="131">
        <f>E9-D9</f>
        <v>642700</v>
      </c>
      <c r="G9" s="184">
        <f>F9/E9*100</f>
        <v>0.23353152203179328</v>
      </c>
      <c r="H9" s="273" t="s">
        <v>37</v>
      </c>
      <c r="I9" s="274">
        <f>SUM(I10:I26)</f>
        <v>275209100</v>
      </c>
      <c r="J9" s="104"/>
      <c r="K9" s="102"/>
      <c r="L9" s="104"/>
    </row>
    <row r="10" spans="1:13" s="103" customFormat="1" ht="20.100000000000001" customHeight="1" x14ac:dyDescent="0.15">
      <c r="A10" s="80"/>
      <c r="B10" s="81"/>
      <c r="C10" s="81"/>
      <c r="D10" s="127"/>
      <c r="E10" s="127"/>
      <c r="F10" s="128"/>
      <c r="G10" s="185"/>
      <c r="H10" s="257" t="s">
        <v>184</v>
      </c>
      <c r="I10" s="258">
        <f>3747000*1</f>
        <v>3747000</v>
      </c>
      <c r="J10" s="102"/>
      <c r="K10" s="102"/>
      <c r="L10" s="104"/>
    </row>
    <row r="11" spans="1:13" s="103" customFormat="1" ht="20.100000000000001" customHeight="1" x14ac:dyDescent="0.15">
      <c r="A11" s="80"/>
      <c r="B11" s="81"/>
      <c r="C11" s="81"/>
      <c r="D11" s="127"/>
      <c r="E11" s="127"/>
      <c r="F11" s="128"/>
      <c r="G11" s="185"/>
      <c r="H11" s="257" t="s">
        <v>185</v>
      </c>
      <c r="I11" s="258">
        <f>4203800*11</f>
        <v>46241800</v>
      </c>
      <c r="J11" s="88"/>
      <c r="L11" s="104"/>
    </row>
    <row r="12" spans="1:13" s="103" customFormat="1" ht="20.100000000000001" customHeight="1" x14ac:dyDescent="0.15">
      <c r="A12" s="80"/>
      <c r="B12" s="81"/>
      <c r="C12" s="81"/>
      <c r="D12" s="127"/>
      <c r="E12" s="127"/>
      <c r="F12" s="128"/>
      <c r="G12" s="185"/>
      <c r="H12" s="257" t="s">
        <v>186</v>
      </c>
      <c r="I12" s="258">
        <f>2849300*9</f>
        <v>25643700</v>
      </c>
      <c r="J12" s="88"/>
      <c r="L12" s="104"/>
    </row>
    <row r="13" spans="1:13" s="103" customFormat="1" ht="20.100000000000001" customHeight="1" x14ac:dyDescent="0.15">
      <c r="A13" s="80"/>
      <c r="B13" s="81"/>
      <c r="C13" s="81"/>
      <c r="D13" s="127"/>
      <c r="E13" s="127"/>
      <c r="F13" s="128"/>
      <c r="G13" s="185"/>
      <c r="H13" s="257" t="s">
        <v>187</v>
      </c>
      <c r="I13" s="258">
        <f>2943000*3</f>
        <v>8829000</v>
      </c>
      <c r="J13" s="88"/>
      <c r="L13" s="104"/>
    </row>
    <row r="14" spans="1:13" s="103" customFormat="1" ht="20.100000000000001" customHeight="1" x14ac:dyDescent="0.15">
      <c r="A14" s="80"/>
      <c r="B14" s="81"/>
      <c r="C14" s="81"/>
      <c r="D14" s="127"/>
      <c r="E14" s="127"/>
      <c r="F14" s="128"/>
      <c r="G14" s="185"/>
      <c r="H14" s="257" t="s">
        <v>188</v>
      </c>
      <c r="I14" s="258">
        <f>2219800*2</f>
        <v>4439600</v>
      </c>
      <c r="J14" s="102"/>
      <c r="L14" s="104"/>
    </row>
    <row r="15" spans="1:13" s="103" customFormat="1" ht="20.100000000000001" customHeight="1" x14ac:dyDescent="0.15">
      <c r="A15" s="80"/>
      <c r="B15" s="81"/>
      <c r="C15" s="81"/>
      <c r="D15" s="127"/>
      <c r="E15" s="127"/>
      <c r="F15" s="128"/>
      <c r="G15" s="185"/>
      <c r="H15" s="257" t="s">
        <v>189</v>
      </c>
      <c r="I15" s="258">
        <f>2262000*10</f>
        <v>22620000</v>
      </c>
      <c r="J15" s="88"/>
      <c r="L15" s="104"/>
    </row>
    <row r="16" spans="1:13" s="103" customFormat="1" ht="20.100000000000001" customHeight="1" x14ac:dyDescent="0.15">
      <c r="A16" s="80"/>
      <c r="B16" s="81"/>
      <c r="C16" s="81"/>
      <c r="D16" s="127"/>
      <c r="E16" s="127"/>
      <c r="F16" s="128"/>
      <c r="G16" s="185"/>
      <c r="H16" s="257" t="s">
        <v>252</v>
      </c>
      <c r="I16" s="258">
        <f>2470200*10</f>
        <v>24702000</v>
      </c>
      <c r="J16" s="102"/>
      <c r="L16" s="104"/>
    </row>
    <row r="17" spans="1:12" s="103" customFormat="1" ht="20.100000000000001" customHeight="1" x14ac:dyDescent="0.15">
      <c r="A17" s="80"/>
      <c r="B17" s="81"/>
      <c r="C17" s="81"/>
      <c r="D17" s="127"/>
      <c r="E17" s="127"/>
      <c r="F17" s="128"/>
      <c r="G17" s="185"/>
      <c r="H17" s="257" t="s">
        <v>245</v>
      </c>
      <c r="I17" s="258">
        <f>370200*2</f>
        <v>740400</v>
      </c>
      <c r="J17" s="102"/>
      <c r="L17" s="104"/>
    </row>
    <row r="18" spans="1:12" s="103" customFormat="1" ht="20.100000000000001" customHeight="1" x14ac:dyDescent="0.15">
      <c r="A18" s="80"/>
      <c r="B18" s="81"/>
      <c r="C18" s="81"/>
      <c r="D18" s="127"/>
      <c r="E18" s="127"/>
      <c r="F18" s="128"/>
      <c r="G18" s="185"/>
      <c r="H18" s="257" t="s">
        <v>190</v>
      </c>
      <c r="I18" s="258">
        <f>2659800*8</f>
        <v>21278400</v>
      </c>
      <c r="J18" s="102"/>
      <c r="L18" s="104"/>
    </row>
    <row r="19" spans="1:12" s="103" customFormat="1" ht="20.100000000000001" customHeight="1" x14ac:dyDescent="0.15">
      <c r="A19" s="80"/>
      <c r="B19" s="81"/>
      <c r="C19" s="81"/>
      <c r="D19" s="127"/>
      <c r="E19" s="127"/>
      <c r="F19" s="128"/>
      <c r="G19" s="185"/>
      <c r="H19" s="257" t="s">
        <v>191</v>
      </c>
      <c r="I19" s="258">
        <f>2740100*4</f>
        <v>10960400</v>
      </c>
      <c r="J19" s="88"/>
      <c r="L19" s="104"/>
    </row>
    <row r="20" spans="1:12" s="103" customFormat="1" ht="20.100000000000001" customHeight="1" x14ac:dyDescent="0.15">
      <c r="A20" s="80"/>
      <c r="B20" s="81"/>
      <c r="C20" s="81"/>
      <c r="D20" s="127"/>
      <c r="E20" s="127"/>
      <c r="F20" s="128"/>
      <c r="G20" s="185"/>
      <c r="H20" s="257" t="s">
        <v>192</v>
      </c>
      <c r="I20" s="258">
        <f>2470200*8</f>
        <v>19761600</v>
      </c>
      <c r="J20" s="102"/>
      <c r="L20" s="104"/>
    </row>
    <row r="21" spans="1:12" s="103" customFormat="1" ht="20.100000000000001" customHeight="1" x14ac:dyDescent="0.15">
      <c r="A21" s="80"/>
      <c r="B21" s="81"/>
      <c r="C21" s="81"/>
      <c r="D21" s="127"/>
      <c r="E21" s="127"/>
      <c r="F21" s="128"/>
      <c r="G21" s="186"/>
      <c r="H21" s="257" t="s">
        <v>193</v>
      </c>
      <c r="I21" s="258">
        <f>2567900*4</f>
        <v>10271600</v>
      </c>
      <c r="J21" s="88"/>
      <c r="L21" s="104"/>
    </row>
    <row r="22" spans="1:12" s="103" customFormat="1" ht="20.100000000000001" customHeight="1" x14ac:dyDescent="0.15">
      <c r="A22" s="80"/>
      <c r="B22" s="81"/>
      <c r="C22" s="81"/>
      <c r="D22" s="127"/>
      <c r="E22" s="127"/>
      <c r="F22" s="128"/>
      <c r="G22" s="186"/>
      <c r="H22" s="257" t="s">
        <v>253</v>
      </c>
      <c r="I22" s="258">
        <f>2470200*2*1</f>
        <v>4940400</v>
      </c>
      <c r="J22" s="88"/>
      <c r="L22" s="104"/>
    </row>
    <row r="23" spans="1:12" s="103" customFormat="1" ht="20.100000000000001" customHeight="1" x14ac:dyDescent="0.15">
      <c r="A23" s="80"/>
      <c r="B23" s="81"/>
      <c r="C23" s="81"/>
      <c r="D23" s="127"/>
      <c r="E23" s="127"/>
      <c r="F23" s="128"/>
      <c r="G23" s="185"/>
      <c r="H23" s="257" t="s">
        <v>194</v>
      </c>
      <c r="I23" s="258">
        <f>2190200*8</f>
        <v>17521600</v>
      </c>
      <c r="J23" s="102"/>
      <c r="L23" s="104"/>
    </row>
    <row r="24" spans="1:12" s="103" customFormat="1" ht="20.100000000000001" customHeight="1" x14ac:dyDescent="0.15">
      <c r="A24" s="80"/>
      <c r="B24" s="81"/>
      <c r="C24" s="81"/>
      <c r="D24" s="127"/>
      <c r="E24" s="127"/>
      <c r="F24" s="128"/>
      <c r="G24" s="185"/>
      <c r="H24" s="257" t="s">
        <v>215</v>
      </c>
      <c r="I24" s="258">
        <f>2232900*4</f>
        <v>8931600</v>
      </c>
      <c r="J24" s="88"/>
      <c r="L24" s="104"/>
    </row>
    <row r="25" spans="1:12" s="103" customFormat="1" ht="20.100000000000001" customHeight="1" x14ac:dyDescent="0.15">
      <c r="A25" s="80"/>
      <c r="B25" s="81"/>
      <c r="C25" s="81"/>
      <c r="D25" s="127"/>
      <c r="E25" s="127"/>
      <c r="F25" s="128"/>
      <c r="G25" s="185"/>
      <c r="H25" s="257" t="s">
        <v>195</v>
      </c>
      <c r="I25" s="258">
        <f>2115000*12*1</f>
        <v>25380000</v>
      </c>
      <c r="J25" s="102"/>
      <c r="L25" s="104"/>
    </row>
    <row r="26" spans="1:12" s="103" customFormat="1" ht="20.100000000000001" customHeight="1" x14ac:dyDescent="0.15">
      <c r="A26" s="116"/>
      <c r="B26" s="117"/>
      <c r="C26" s="117"/>
      <c r="D26" s="129"/>
      <c r="E26" s="129"/>
      <c r="F26" s="130"/>
      <c r="G26" s="187"/>
      <c r="H26" s="275" t="s">
        <v>196</v>
      </c>
      <c r="I26" s="261">
        <f>1600000*12*1</f>
        <v>19200000</v>
      </c>
      <c r="J26" s="88"/>
      <c r="L26" s="104"/>
    </row>
    <row r="27" spans="1:12" s="103" customFormat="1" ht="20.100000000000001" customHeight="1" x14ac:dyDescent="0.15">
      <c r="A27" s="80"/>
      <c r="B27" s="81"/>
      <c r="C27" s="81" t="s">
        <v>38</v>
      </c>
      <c r="D27" s="127">
        <v>39100340</v>
      </c>
      <c r="E27" s="127">
        <f>I29+I31+I33+I35</f>
        <v>39100340</v>
      </c>
      <c r="F27" s="136">
        <f>E27-D27</f>
        <v>0</v>
      </c>
      <c r="G27" s="188">
        <f>F27/E27*100</f>
        <v>0</v>
      </c>
      <c r="H27" s="257" t="s">
        <v>38</v>
      </c>
      <c r="I27" s="258"/>
      <c r="J27" s="88"/>
      <c r="K27" s="102"/>
      <c r="L27" s="104"/>
    </row>
    <row r="28" spans="1:12" s="103" customFormat="1" ht="20.100000000000001" customHeight="1" x14ac:dyDescent="0.15">
      <c r="A28" s="112"/>
      <c r="B28" s="81"/>
      <c r="C28" s="81"/>
      <c r="D28" s="127"/>
      <c r="E28" s="127"/>
      <c r="F28" s="128"/>
      <c r="G28" s="185"/>
      <c r="H28" s="257" t="s">
        <v>197</v>
      </c>
      <c r="I28" s="258"/>
      <c r="J28" s="102"/>
      <c r="L28" s="104"/>
    </row>
    <row r="29" spans="1:12" s="103" customFormat="1" ht="20.100000000000001" customHeight="1" x14ac:dyDescent="0.15">
      <c r="A29" s="80"/>
      <c r="B29" s="81"/>
      <c r="C29" s="81"/>
      <c r="D29" s="127"/>
      <c r="E29" s="127"/>
      <c r="F29" s="128"/>
      <c r="G29" s="185"/>
      <c r="H29" s="276" t="s">
        <v>198</v>
      </c>
      <c r="I29" s="258">
        <f>13584720*2</f>
        <v>27169440</v>
      </c>
      <c r="J29" s="88"/>
      <c r="L29" s="104"/>
    </row>
    <row r="30" spans="1:12" s="103" customFormat="1" ht="20.100000000000001" customHeight="1" x14ac:dyDescent="0.15">
      <c r="A30" s="112"/>
      <c r="B30" s="81"/>
      <c r="C30" s="81"/>
      <c r="D30" s="127"/>
      <c r="E30" s="127"/>
      <c r="F30" s="128"/>
      <c r="G30" s="185"/>
      <c r="H30" s="257" t="s">
        <v>200</v>
      </c>
      <c r="I30" s="258"/>
      <c r="J30" s="141"/>
      <c r="L30" s="104"/>
    </row>
    <row r="31" spans="1:12" s="103" customFormat="1" ht="19.5" customHeight="1" x14ac:dyDescent="0.15">
      <c r="A31" s="80"/>
      <c r="B31" s="81"/>
      <c r="C31" s="81"/>
      <c r="D31" s="127"/>
      <c r="E31" s="127"/>
      <c r="F31" s="128"/>
      <c r="G31" s="185"/>
      <c r="H31" s="257" t="s">
        <v>199</v>
      </c>
      <c r="I31" s="258">
        <f>840000*4</f>
        <v>3360000</v>
      </c>
      <c r="K31" s="102"/>
      <c r="L31" s="104"/>
    </row>
    <row r="32" spans="1:12" s="103" customFormat="1" ht="20.100000000000001" customHeight="1" x14ac:dyDescent="0.15">
      <c r="A32" s="80"/>
      <c r="B32" s="81"/>
      <c r="C32" s="81"/>
      <c r="D32" s="127"/>
      <c r="E32" s="127"/>
      <c r="F32" s="128"/>
      <c r="G32" s="189"/>
      <c r="H32" s="257" t="s">
        <v>244</v>
      </c>
      <c r="I32" s="258"/>
      <c r="L32" s="104"/>
    </row>
    <row r="33" spans="1:12" s="103" customFormat="1" ht="20.100000000000001" customHeight="1" x14ac:dyDescent="0.15">
      <c r="A33" s="80"/>
      <c r="B33" s="81"/>
      <c r="C33" s="81"/>
      <c r="D33" s="127"/>
      <c r="E33" s="127"/>
      <c r="F33" s="128"/>
      <c r="G33" s="185"/>
      <c r="H33" s="257" t="s">
        <v>239</v>
      </c>
      <c r="I33" s="258">
        <f>7370900</f>
        <v>7370900</v>
      </c>
      <c r="J33" s="88"/>
      <c r="L33" s="104"/>
    </row>
    <row r="34" spans="1:12" s="103" customFormat="1" ht="20.100000000000001" customHeight="1" x14ac:dyDescent="0.15">
      <c r="A34" s="80"/>
      <c r="B34" s="81"/>
      <c r="C34" s="81"/>
      <c r="D34" s="127"/>
      <c r="E34" s="127"/>
      <c r="F34" s="128"/>
      <c r="G34" s="185"/>
      <c r="H34" s="257" t="s">
        <v>163</v>
      </c>
      <c r="I34" s="258"/>
      <c r="J34" s="104"/>
      <c r="L34" s="104"/>
    </row>
    <row r="35" spans="1:12" s="103" customFormat="1" ht="20.100000000000001" customHeight="1" x14ac:dyDescent="0.15">
      <c r="A35" s="80"/>
      <c r="B35" s="81"/>
      <c r="C35" s="81"/>
      <c r="D35" s="127"/>
      <c r="E35" s="127"/>
      <c r="F35" s="128"/>
      <c r="G35" s="185"/>
      <c r="H35" s="257" t="s">
        <v>160</v>
      </c>
      <c r="I35" s="258">
        <f>50000*12*2</f>
        <v>1200000</v>
      </c>
      <c r="J35" s="104"/>
      <c r="L35" s="104"/>
    </row>
    <row r="36" spans="1:12" s="103" customFormat="1" ht="20.100000000000001" customHeight="1" x14ac:dyDescent="0.15">
      <c r="A36" s="80"/>
      <c r="B36" s="81"/>
      <c r="C36" s="142" t="s">
        <v>66</v>
      </c>
      <c r="D36" s="126">
        <v>26438895</v>
      </c>
      <c r="E36" s="126">
        <f>I37</f>
        <v>27232406.833333332</v>
      </c>
      <c r="F36" s="131">
        <f>E36-D36</f>
        <v>793511.83333333209</v>
      </c>
      <c r="G36" s="184">
        <f>F36/E36*100</f>
        <v>2.9138512735570927</v>
      </c>
      <c r="H36" s="277" t="s">
        <v>66</v>
      </c>
      <c r="I36" s="256"/>
      <c r="L36" s="104"/>
    </row>
    <row r="37" spans="1:12" s="103" customFormat="1" ht="20.100000000000001" customHeight="1" x14ac:dyDescent="0.15">
      <c r="A37" s="80"/>
      <c r="B37" s="81"/>
      <c r="C37" s="81"/>
      <c r="D37" s="127"/>
      <c r="E37" s="127"/>
      <c r="F37" s="128"/>
      <c r="G37" s="190"/>
      <c r="H37" s="257" t="s">
        <v>247</v>
      </c>
      <c r="I37" s="264">
        <f>326788882/12</f>
        <v>27232406.833333332</v>
      </c>
      <c r="J37" s="88"/>
      <c r="K37" s="88"/>
      <c r="L37" s="104"/>
    </row>
    <row r="38" spans="1:12" s="103" customFormat="1" ht="20.100000000000001" customHeight="1" x14ac:dyDescent="0.15">
      <c r="A38" s="80"/>
      <c r="B38" s="81"/>
      <c r="C38" s="34" t="s">
        <v>39</v>
      </c>
      <c r="D38" s="126">
        <v>32280536.045323499</v>
      </c>
      <c r="E38" s="126">
        <f>SUM(I39:I43)</f>
        <v>32348110.021415997</v>
      </c>
      <c r="F38" s="131">
        <f>E38-D38</f>
        <v>67573.976092498749</v>
      </c>
      <c r="G38" s="184">
        <f>F38/E38*100</f>
        <v>0.2088962107763376</v>
      </c>
      <c r="H38" s="277" t="s">
        <v>40</v>
      </c>
      <c r="I38" s="258"/>
      <c r="J38" s="88"/>
      <c r="K38" s="88"/>
      <c r="L38" s="104"/>
    </row>
    <row r="39" spans="1:12" s="103" customFormat="1" ht="20.100000000000001" customHeight="1" x14ac:dyDescent="0.15">
      <c r="A39" s="80"/>
      <c r="B39" s="81"/>
      <c r="C39" s="81"/>
      <c r="D39" s="127"/>
      <c r="E39" s="127"/>
      <c r="F39" s="128"/>
      <c r="G39" s="185"/>
      <c r="H39" s="278" t="s">
        <v>248</v>
      </c>
      <c r="I39" s="258">
        <f>(E9+E27+E54)*4.5%</f>
        <v>14305924.799999999</v>
      </c>
      <c r="J39" s="102"/>
      <c r="K39" s="88"/>
      <c r="L39" s="104"/>
    </row>
    <row r="40" spans="1:12" s="103" customFormat="1" ht="20.100000000000001" customHeight="1" x14ac:dyDescent="0.15">
      <c r="A40" s="80"/>
      <c r="B40" s="81"/>
      <c r="C40" s="109"/>
      <c r="D40" s="127"/>
      <c r="E40" s="127"/>
      <c r="F40" s="128"/>
      <c r="G40" s="185"/>
      <c r="H40" s="276" t="s">
        <v>249</v>
      </c>
      <c r="I40" s="258">
        <f>(E9+E27+E54)*3.545%</f>
        <v>11269889.648</v>
      </c>
      <c r="J40" s="57"/>
      <c r="K40" s="88"/>
      <c r="L40" s="104"/>
    </row>
    <row r="41" spans="1:12" s="103" customFormat="1" ht="20.100000000000001" customHeight="1" x14ac:dyDescent="0.15">
      <c r="A41" s="80"/>
      <c r="B41" s="81"/>
      <c r="C41" s="81"/>
      <c r="D41" s="127"/>
      <c r="E41" s="127"/>
      <c r="F41" s="128"/>
      <c r="G41" s="185"/>
      <c r="H41" s="257" t="s">
        <v>240</v>
      </c>
      <c r="I41" s="258">
        <f>I40*12.95%</f>
        <v>1459450.7094159999</v>
      </c>
      <c r="J41" s="297"/>
      <c r="K41" s="88"/>
      <c r="L41" s="104"/>
    </row>
    <row r="42" spans="1:12" s="103" customFormat="1" ht="20.100000000000001" customHeight="1" x14ac:dyDescent="0.15">
      <c r="A42" s="80"/>
      <c r="B42" s="81"/>
      <c r="C42" s="81"/>
      <c r="D42" s="127"/>
      <c r="E42" s="127"/>
      <c r="F42" s="128"/>
      <c r="G42" s="185"/>
      <c r="H42" s="257" t="s">
        <v>250</v>
      </c>
      <c r="I42" s="258">
        <f>(E9-I10-I11+E27)*1.25%</f>
        <v>3304008</v>
      </c>
      <c r="J42" s="104"/>
      <c r="L42" s="104"/>
    </row>
    <row r="43" spans="1:12" s="103" customFormat="1" ht="20.100000000000001" customHeight="1" x14ac:dyDescent="0.15">
      <c r="A43" s="80"/>
      <c r="B43" s="81"/>
      <c r="C43" s="81"/>
      <c r="D43" s="127"/>
      <c r="E43" s="127"/>
      <c r="F43" s="128"/>
      <c r="G43" s="185"/>
      <c r="H43" s="257" t="s">
        <v>251</v>
      </c>
      <c r="I43" s="258">
        <f>(E9-I11-I10+E27)*0.76%</f>
        <v>2008836.8640000001</v>
      </c>
      <c r="L43" s="104"/>
    </row>
    <row r="44" spans="1:12" s="103" customFormat="1" ht="20.100000000000001" customHeight="1" x14ac:dyDescent="0.15">
      <c r="A44" s="80"/>
      <c r="B44" s="81"/>
      <c r="C44" s="34" t="s">
        <v>41</v>
      </c>
      <c r="D44" s="126">
        <v>2710000</v>
      </c>
      <c r="E44" s="126">
        <f>I45+I48+I46+I47</f>
        <v>2710000</v>
      </c>
      <c r="F44" s="131">
        <f>E44-D44</f>
        <v>0</v>
      </c>
      <c r="G44" s="184">
        <f>F44/E44*100</f>
        <v>0</v>
      </c>
      <c r="H44" s="277" t="s">
        <v>41</v>
      </c>
      <c r="I44" s="256"/>
      <c r="L44" s="104"/>
    </row>
    <row r="45" spans="1:12" s="103" customFormat="1" ht="20.100000000000001" customHeight="1" x14ac:dyDescent="0.15">
      <c r="A45" s="80"/>
      <c r="B45" s="81"/>
      <c r="C45" s="81"/>
      <c r="D45" s="127"/>
      <c r="E45" s="127"/>
      <c r="F45" s="128"/>
      <c r="G45" s="185"/>
      <c r="H45" s="257" t="s">
        <v>221</v>
      </c>
      <c r="I45" s="258">
        <f>1850000*1</f>
        <v>1850000</v>
      </c>
      <c r="L45" s="104"/>
    </row>
    <row r="46" spans="1:12" s="103" customFormat="1" ht="20.100000000000001" customHeight="1" x14ac:dyDescent="0.15">
      <c r="A46" s="80"/>
      <c r="B46" s="81"/>
      <c r="C46" s="81"/>
      <c r="D46" s="127"/>
      <c r="E46" s="127"/>
      <c r="F46" s="128"/>
      <c r="G46" s="185"/>
      <c r="H46" s="276" t="s">
        <v>241</v>
      </c>
      <c r="I46" s="258">
        <f>100000*1</f>
        <v>100000</v>
      </c>
      <c r="L46" s="104"/>
    </row>
    <row r="47" spans="1:12" s="103" customFormat="1" ht="20.100000000000001" customHeight="1" x14ac:dyDescent="0.15">
      <c r="A47" s="80"/>
      <c r="B47" s="81"/>
      <c r="C47" s="81"/>
      <c r="D47" s="127"/>
      <c r="E47" s="127"/>
      <c r="F47" s="128"/>
      <c r="G47" s="185"/>
      <c r="H47" s="276" t="s">
        <v>158</v>
      </c>
      <c r="I47" s="258">
        <f>30000*9</f>
        <v>270000</v>
      </c>
      <c r="L47" s="104"/>
    </row>
    <row r="48" spans="1:12" s="103" customFormat="1" ht="19.5" customHeight="1" x14ac:dyDescent="0.15">
      <c r="A48" s="116"/>
      <c r="B48" s="117"/>
      <c r="C48" s="117"/>
      <c r="D48" s="129"/>
      <c r="E48" s="129"/>
      <c r="F48" s="130"/>
      <c r="G48" s="187"/>
      <c r="H48" s="279" t="s">
        <v>255</v>
      </c>
      <c r="I48" s="261">
        <f>245000*2</f>
        <v>490000</v>
      </c>
      <c r="L48" s="104"/>
    </row>
    <row r="49" spans="1:14" s="103" customFormat="1" ht="20.100000000000001" customHeight="1" x14ac:dyDescent="0.15">
      <c r="A49" s="292"/>
      <c r="B49" s="113" t="s">
        <v>42</v>
      </c>
      <c r="C49" s="114"/>
      <c r="D49" s="134">
        <v>6580000</v>
      </c>
      <c r="E49" s="134">
        <f>E50+E56+E54</f>
        <v>6580000</v>
      </c>
      <c r="F49" s="133">
        <f t="shared" ref="F49:F56" si="1">E49-D49</f>
        <v>0</v>
      </c>
      <c r="G49" s="163">
        <f>F49/E49*100</f>
        <v>0</v>
      </c>
      <c r="H49" s="280" t="s">
        <v>42</v>
      </c>
      <c r="I49" s="264"/>
      <c r="L49" s="104"/>
    </row>
    <row r="50" spans="1:14" s="103" customFormat="1" ht="20.100000000000001" customHeight="1" x14ac:dyDescent="0.15">
      <c r="A50" s="112"/>
      <c r="B50" s="81"/>
      <c r="C50" s="143" t="s">
        <v>43</v>
      </c>
      <c r="D50" s="126">
        <v>1780000</v>
      </c>
      <c r="E50" s="126">
        <f>I53+I51+I52</f>
        <v>1780000</v>
      </c>
      <c r="F50" s="131">
        <f t="shared" si="1"/>
        <v>0</v>
      </c>
      <c r="G50" s="164">
        <f>F50/E50*100</f>
        <v>0</v>
      </c>
      <c r="H50" s="277" t="s">
        <v>43</v>
      </c>
      <c r="I50" s="256"/>
      <c r="L50" s="104"/>
    </row>
    <row r="51" spans="1:14" s="103" customFormat="1" ht="20.100000000000001" customHeight="1" x14ac:dyDescent="0.15">
      <c r="A51" s="112"/>
      <c r="B51" s="81"/>
      <c r="C51" s="161"/>
      <c r="D51" s="127"/>
      <c r="E51" s="127"/>
      <c r="F51" s="136"/>
      <c r="G51" s="164"/>
      <c r="H51" s="257" t="s">
        <v>140</v>
      </c>
      <c r="I51" s="258">
        <f>100000*4</f>
        <v>400000</v>
      </c>
      <c r="L51" s="104"/>
    </row>
    <row r="52" spans="1:14" s="103" customFormat="1" ht="20.100000000000001" customHeight="1" x14ac:dyDescent="0.15">
      <c r="A52" s="112"/>
      <c r="B52" s="81"/>
      <c r="C52" s="161"/>
      <c r="D52" s="127"/>
      <c r="E52" s="127"/>
      <c r="F52" s="136"/>
      <c r="G52" s="164"/>
      <c r="H52" s="257" t="s">
        <v>169</v>
      </c>
      <c r="I52" s="258">
        <f>300000*4</f>
        <v>1200000</v>
      </c>
      <c r="L52" s="104"/>
    </row>
    <row r="53" spans="1:14" s="103" customFormat="1" ht="20.100000000000001" customHeight="1" x14ac:dyDescent="0.15">
      <c r="A53" s="112"/>
      <c r="B53" s="81"/>
      <c r="C53" s="108"/>
      <c r="D53" s="134"/>
      <c r="E53" s="134"/>
      <c r="F53" s="133"/>
      <c r="G53" s="163"/>
      <c r="H53" s="280" t="s">
        <v>201</v>
      </c>
      <c r="I53" s="264">
        <f>180000*1</f>
        <v>180000</v>
      </c>
      <c r="L53" s="104"/>
    </row>
    <row r="54" spans="1:14" s="103" customFormat="1" ht="20.100000000000001" customHeight="1" x14ac:dyDescent="0.15">
      <c r="A54" s="112"/>
      <c r="B54" s="81"/>
      <c r="C54" s="81" t="s">
        <v>176</v>
      </c>
      <c r="D54" s="126">
        <v>3600000</v>
      </c>
      <c r="E54" s="126">
        <f>I55</f>
        <v>3600000</v>
      </c>
      <c r="F54" s="131">
        <f t="shared" ref="F54" si="2">E54-D54</f>
        <v>0</v>
      </c>
      <c r="G54" s="164">
        <f>F54/E54*100</f>
        <v>0</v>
      </c>
      <c r="H54" s="257" t="s">
        <v>178</v>
      </c>
      <c r="I54" s="258"/>
      <c r="L54" s="104"/>
    </row>
    <row r="55" spans="1:14" s="103" customFormat="1" ht="20.100000000000001" customHeight="1" x14ac:dyDescent="0.15">
      <c r="A55" s="80"/>
      <c r="B55" s="81"/>
      <c r="C55" s="108"/>
      <c r="D55" s="134"/>
      <c r="E55" s="134"/>
      <c r="F55" s="132"/>
      <c r="G55" s="190"/>
      <c r="H55" s="280" t="s">
        <v>179</v>
      </c>
      <c r="I55" s="264">
        <f>300000*12*1</f>
        <v>3600000</v>
      </c>
      <c r="L55" s="104"/>
    </row>
    <row r="56" spans="1:14" s="103" customFormat="1" ht="20.100000000000001" customHeight="1" x14ac:dyDescent="0.15">
      <c r="A56" s="112"/>
      <c r="B56" s="81"/>
      <c r="C56" s="161" t="s">
        <v>44</v>
      </c>
      <c r="D56" s="127">
        <v>1200000</v>
      </c>
      <c r="E56" s="127">
        <f>I57</f>
        <v>1200000</v>
      </c>
      <c r="F56" s="136">
        <f t="shared" si="1"/>
        <v>0</v>
      </c>
      <c r="G56" s="164">
        <f>F56/E56*100</f>
        <v>0</v>
      </c>
      <c r="H56" s="257" t="s">
        <v>44</v>
      </c>
      <c r="I56" s="258"/>
      <c r="L56" s="104"/>
    </row>
    <row r="57" spans="1:14" s="144" customFormat="1" ht="20.100000000000001" customHeight="1" x14ac:dyDescent="0.15">
      <c r="A57" s="80"/>
      <c r="B57" s="81"/>
      <c r="C57" s="108"/>
      <c r="D57" s="134"/>
      <c r="E57" s="134"/>
      <c r="F57" s="133"/>
      <c r="G57" s="192"/>
      <c r="H57" s="280" t="s">
        <v>172</v>
      </c>
      <c r="I57" s="264">
        <f>300000*4</f>
        <v>1200000</v>
      </c>
      <c r="J57" s="227"/>
      <c r="K57" s="228"/>
      <c r="L57" s="229"/>
      <c r="M57" s="228"/>
      <c r="N57" s="228"/>
    </row>
    <row r="58" spans="1:14" s="103" customFormat="1" ht="20.100000000000001" customHeight="1" x14ac:dyDescent="0.15">
      <c r="A58" s="112"/>
      <c r="B58" s="233" t="s">
        <v>45</v>
      </c>
      <c r="C58" s="114"/>
      <c r="D58" s="134">
        <v>45674700</v>
      </c>
      <c r="E58" s="134">
        <f>E59+E61+E69+E72+E78+E81</f>
        <v>45674700</v>
      </c>
      <c r="F58" s="133">
        <f t="shared" ref="F58:F61" si="3">E58-D58</f>
        <v>0</v>
      </c>
      <c r="G58" s="163">
        <f>F58/E58*100</f>
        <v>0</v>
      </c>
      <c r="H58" s="280" t="s">
        <v>45</v>
      </c>
      <c r="I58" s="264"/>
      <c r="K58" s="228"/>
      <c r="L58" s="104"/>
    </row>
    <row r="59" spans="1:14" s="103" customFormat="1" ht="20.100000000000001" customHeight="1" x14ac:dyDescent="0.15">
      <c r="A59" s="80"/>
      <c r="B59" s="81"/>
      <c r="C59" s="34" t="s">
        <v>46</v>
      </c>
      <c r="D59" s="126">
        <v>300000</v>
      </c>
      <c r="E59" s="126">
        <f>I60</f>
        <v>300000</v>
      </c>
      <c r="F59" s="131">
        <f t="shared" si="3"/>
        <v>0</v>
      </c>
      <c r="G59" s="184">
        <f>F59/E59*100</f>
        <v>0</v>
      </c>
      <c r="H59" s="277" t="s">
        <v>46</v>
      </c>
      <c r="I59" s="256"/>
      <c r="L59" s="104"/>
    </row>
    <row r="60" spans="1:14" s="103" customFormat="1" ht="20.100000000000001" customHeight="1" x14ac:dyDescent="0.15">
      <c r="A60" s="80"/>
      <c r="B60" s="109"/>
      <c r="C60" s="81"/>
      <c r="D60" s="127"/>
      <c r="E60" s="127"/>
      <c r="F60" s="136"/>
      <c r="G60" s="192"/>
      <c r="H60" s="280" t="s">
        <v>166</v>
      </c>
      <c r="I60" s="264">
        <f>50000*6</f>
        <v>300000</v>
      </c>
      <c r="L60" s="104"/>
    </row>
    <row r="61" spans="1:14" s="103" customFormat="1" ht="20.100000000000001" customHeight="1" x14ac:dyDescent="0.15">
      <c r="A61" s="80"/>
      <c r="B61" s="81"/>
      <c r="C61" s="238" t="s">
        <v>47</v>
      </c>
      <c r="D61" s="126">
        <v>14559200</v>
      </c>
      <c r="E61" s="126">
        <f>SUM(I62:I68)</f>
        <v>14559200</v>
      </c>
      <c r="F61" s="131">
        <f t="shared" si="3"/>
        <v>0</v>
      </c>
      <c r="G61" s="166">
        <f>F61/E61*100</f>
        <v>0</v>
      </c>
      <c r="H61" s="277" t="s">
        <v>47</v>
      </c>
      <c r="I61" s="256"/>
      <c r="L61" s="104"/>
    </row>
    <row r="62" spans="1:14" s="103" customFormat="1" ht="20.100000000000001" customHeight="1" x14ac:dyDescent="0.15">
      <c r="A62" s="80"/>
      <c r="B62" s="81"/>
      <c r="C62" s="240"/>
      <c r="D62" s="127"/>
      <c r="E62" s="127"/>
      <c r="F62" s="136"/>
      <c r="G62" s="136"/>
      <c r="H62" s="281" t="s">
        <v>225</v>
      </c>
      <c r="I62" s="258">
        <f>350000*8</f>
        <v>2800000</v>
      </c>
      <c r="L62" s="104"/>
    </row>
    <row r="63" spans="1:14" s="103" customFormat="1" ht="20.100000000000001" customHeight="1" x14ac:dyDescent="0.15">
      <c r="A63" s="80"/>
      <c r="B63" s="109"/>
      <c r="C63" s="240"/>
      <c r="D63" s="127"/>
      <c r="E63" s="127"/>
      <c r="F63" s="136"/>
      <c r="G63" s="136"/>
      <c r="H63" s="281" t="s">
        <v>220</v>
      </c>
      <c r="I63" s="258">
        <f>250000*4</f>
        <v>1000000</v>
      </c>
      <c r="L63" s="104"/>
    </row>
    <row r="64" spans="1:14" s="103" customFormat="1" ht="20.100000000000001" customHeight="1" x14ac:dyDescent="0.15">
      <c r="A64" s="80"/>
      <c r="B64" s="109"/>
      <c r="C64" s="81"/>
      <c r="D64" s="127"/>
      <c r="E64" s="127"/>
      <c r="F64" s="136"/>
      <c r="G64" s="136"/>
      <c r="H64" s="282" t="s">
        <v>122</v>
      </c>
      <c r="I64" s="258">
        <f>204600*12</f>
        <v>2455200</v>
      </c>
      <c r="L64" s="104"/>
    </row>
    <row r="65" spans="1:12" s="103" customFormat="1" ht="20.100000000000001" customHeight="1" x14ac:dyDescent="0.15">
      <c r="A65" s="80"/>
      <c r="B65" s="109"/>
      <c r="C65" s="81"/>
      <c r="D65" s="127"/>
      <c r="E65" s="127"/>
      <c r="F65" s="136"/>
      <c r="G65" s="136"/>
      <c r="H65" s="257" t="s">
        <v>104</v>
      </c>
      <c r="I65" s="258">
        <f>300000*4</f>
        <v>1200000</v>
      </c>
      <c r="L65" s="104"/>
    </row>
    <row r="66" spans="1:12" s="103" customFormat="1" ht="20.100000000000001" customHeight="1" x14ac:dyDescent="0.15">
      <c r="A66" s="80"/>
      <c r="B66" s="109"/>
      <c r="C66" s="81"/>
      <c r="D66" s="127"/>
      <c r="E66" s="127"/>
      <c r="F66" s="136"/>
      <c r="G66" s="136"/>
      <c r="H66" s="257" t="s">
        <v>112</v>
      </c>
      <c r="I66" s="258">
        <f>500000*12</f>
        <v>6000000</v>
      </c>
      <c r="L66" s="104"/>
    </row>
    <row r="67" spans="1:12" s="103" customFormat="1" ht="20.100000000000001" customHeight="1" x14ac:dyDescent="0.15">
      <c r="A67" s="80"/>
      <c r="B67" s="109"/>
      <c r="C67" s="81"/>
      <c r="D67" s="127"/>
      <c r="E67" s="127"/>
      <c r="F67" s="136"/>
      <c r="G67" s="136"/>
      <c r="H67" s="257" t="s">
        <v>67</v>
      </c>
      <c r="I67" s="258">
        <f>77000*12</f>
        <v>924000</v>
      </c>
      <c r="L67" s="104"/>
    </row>
    <row r="68" spans="1:12" s="103" customFormat="1" ht="20.100000000000001" customHeight="1" x14ac:dyDescent="0.15">
      <c r="A68" s="80"/>
      <c r="B68" s="109"/>
      <c r="C68" s="81"/>
      <c r="D68" s="127"/>
      <c r="E68" s="127"/>
      <c r="F68" s="136"/>
      <c r="G68" s="136"/>
      <c r="H68" s="257" t="s">
        <v>144</v>
      </c>
      <c r="I68" s="258">
        <f>30000*6</f>
        <v>180000</v>
      </c>
      <c r="L68" s="104"/>
    </row>
    <row r="69" spans="1:12" s="103" customFormat="1" ht="20.100000000000001" customHeight="1" x14ac:dyDescent="0.15">
      <c r="A69" s="80"/>
      <c r="B69" s="81"/>
      <c r="C69" s="34" t="s">
        <v>48</v>
      </c>
      <c r="D69" s="126">
        <v>6840000</v>
      </c>
      <c r="E69" s="126">
        <f>I70+I71</f>
        <v>6840000</v>
      </c>
      <c r="F69" s="131">
        <f t="shared" ref="F69" si="4">E69-D69</f>
        <v>0</v>
      </c>
      <c r="G69" s="166">
        <f>F69/E69*100</f>
        <v>0</v>
      </c>
      <c r="H69" s="277" t="s">
        <v>48</v>
      </c>
      <c r="I69" s="256"/>
      <c r="L69" s="104"/>
    </row>
    <row r="70" spans="1:12" s="103" customFormat="1" ht="20.100000000000001" customHeight="1" x14ac:dyDescent="0.15">
      <c r="A70" s="80"/>
      <c r="B70" s="109"/>
      <c r="C70" s="81"/>
      <c r="D70" s="127"/>
      <c r="E70" s="127"/>
      <c r="F70" s="136"/>
      <c r="G70" s="185"/>
      <c r="H70" s="257" t="s">
        <v>111</v>
      </c>
      <c r="I70" s="258">
        <f>70000*12</f>
        <v>840000</v>
      </c>
      <c r="L70" s="104"/>
    </row>
    <row r="71" spans="1:12" s="103" customFormat="1" ht="20.100000000000001" customHeight="1" x14ac:dyDescent="0.15">
      <c r="A71" s="116"/>
      <c r="B71" s="118"/>
      <c r="C71" s="117"/>
      <c r="D71" s="129"/>
      <c r="E71" s="129"/>
      <c r="F71" s="135"/>
      <c r="G71" s="187"/>
      <c r="H71" s="275" t="s">
        <v>133</v>
      </c>
      <c r="I71" s="261">
        <f>500000*12</f>
        <v>6000000</v>
      </c>
      <c r="L71" s="104"/>
    </row>
    <row r="72" spans="1:12" s="103" customFormat="1" ht="20.100000000000001" customHeight="1" x14ac:dyDescent="0.15">
      <c r="A72" s="80"/>
      <c r="B72" s="109"/>
      <c r="C72" s="81" t="s">
        <v>49</v>
      </c>
      <c r="D72" s="127">
        <v>5775500</v>
      </c>
      <c r="E72" s="127">
        <f>I73+I74+I75+I76+I77</f>
        <v>5775500</v>
      </c>
      <c r="F72" s="136">
        <f t="shared" ref="F72" si="5">E72-D72</f>
        <v>0</v>
      </c>
      <c r="G72" s="188">
        <f>F72/E72*100</f>
        <v>0</v>
      </c>
      <c r="H72" s="257" t="s">
        <v>49</v>
      </c>
      <c r="I72" s="258"/>
      <c r="L72" s="104"/>
    </row>
    <row r="73" spans="1:12" s="103" customFormat="1" ht="20.100000000000001" customHeight="1" x14ac:dyDescent="0.15">
      <c r="A73" s="80"/>
      <c r="B73" s="109"/>
      <c r="C73" s="81"/>
      <c r="D73" s="127"/>
      <c r="E73" s="127"/>
      <c r="F73" s="136"/>
      <c r="G73" s="185"/>
      <c r="H73" s="257" t="s">
        <v>103</v>
      </c>
      <c r="I73" s="258">
        <f>50000*2</f>
        <v>100000</v>
      </c>
      <c r="L73" s="104"/>
    </row>
    <row r="74" spans="1:12" s="103" customFormat="1" ht="20.100000000000001" customHeight="1" x14ac:dyDescent="0.15">
      <c r="A74" s="80"/>
      <c r="B74" s="109"/>
      <c r="C74" s="81"/>
      <c r="D74" s="127"/>
      <c r="E74" s="127"/>
      <c r="F74" s="136"/>
      <c r="G74" s="185"/>
      <c r="H74" s="257" t="s">
        <v>212</v>
      </c>
      <c r="I74" s="258">
        <f>935500*1</f>
        <v>935500</v>
      </c>
      <c r="L74" s="104"/>
    </row>
    <row r="75" spans="1:12" s="103" customFormat="1" ht="20.100000000000001" customHeight="1" x14ac:dyDescent="0.15">
      <c r="A75" s="80"/>
      <c r="B75" s="109"/>
      <c r="C75" s="81"/>
      <c r="D75" s="127"/>
      <c r="E75" s="127"/>
      <c r="F75" s="136"/>
      <c r="G75" s="185"/>
      <c r="H75" s="257" t="s">
        <v>213</v>
      </c>
      <c r="I75" s="258">
        <f>300000*5</f>
        <v>1500000</v>
      </c>
      <c r="L75" s="104"/>
    </row>
    <row r="76" spans="1:12" s="103" customFormat="1" ht="20.100000000000001" customHeight="1" x14ac:dyDescent="0.15">
      <c r="A76" s="80"/>
      <c r="B76" s="109"/>
      <c r="C76" s="81"/>
      <c r="D76" s="127"/>
      <c r="E76" s="127"/>
      <c r="F76" s="136"/>
      <c r="G76" s="185"/>
      <c r="H76" s="257" t="s">
        <v>131</v>
      </c>
      <c r="I76" s="258">
        <f>1000000*3</f>
        <v>3000000</v>
      </c>
      <c r="L76" s="104"/>
    </row>
    <row r="77" spans="1:12" s="103" customFormat="1" ht="20.100000000000001" customHeight="1" x14ac:dyDescent="0.15">
      <c r="A77" s="80"/>
      <c r="B77" s="109"/>
      <c r="C77" s="108"/>
      <c r="D77" s="134"/>
      <c r="E77" s="134"/>
      <c r="F77" s="133"/>
      <c r="G77" s="190"/>
      <c r="H77" s="280" t="s">
        <v>124</v>
      </c>
      <c r="I77" s="264">
        <f>80000*3</f>
        <v>240000</v>
      </c>
      <c r="L77" s="104"/>
    </row>
    <row r="78" spans="1:12" s="103" customFormat="1" ht="20.100000000000001" customHeight="1" x14ac:dyDescent="0.15">
      <c r="A78" s="112"/>
      <c r="B78" s="81"/>
      <c r="C78" s="81" t="s">
        <v>50</v>
      </c>
      <c r="D78" s="127">
        <v>10800000</v>
      </c>
      <c r="E78" s="127">
        <f>I79+I80</f>
        <v>10800000</v>
      </c>
      <c r="F78" s="136">
        <f t="shared" ref="F78" si="6">E78-D78</f>
        <v>0</v>
      </c>
      <c r="G78" s="165">
        <f>F78/E78*100</f>
        <v>0</v>
      </c>
      <c r="H78" s="257" t="s">
        <v>50</v>
      </c>
      <c r="I78" s="258"/>
      <c r="L78" s="104"/>
    </row>
    <row r="79" spans="1:12" s="103" customFormat="1" ht="20.100000000000001" customHeight="1" x14ac:dyDescent="0.15">
      <c r="A79" s="80"/>
      <c r="B79" s="109"/>
      <c r="C79" s="81"/>
      <c r="D79" s="127"/>
      <c r="E79" s="127"/>
      <c r="F79" s="136"/>
      <c r="G79" s="185"/>
      <c r="H79" s="257" t="s">
        <v>125</v>
      </c>
      <c r="I79" s="258">
        <f>600000*12</f>
        <v>7200000</v>
      </c>
      <c r="L79" s="104"/>
    </row>
    <row r="80" spans="1:12" s="103" customFormat="1" ht="20.100000000000001" customHeight="1" x14ac:dyDescent="0.15">
      <c r="A80" s="80"/>
      <c r="B80" s="109"/>
      <c r="C80" s="81"/>
      <c r="D80" s="127"/>
      <c r="E80" s="127"/>
      <c r="F80" s="136"/>
      <c r="G80" s="190"/>
      <c r="H80" s="257" t="s">
        <v>224</v>
      </c>
      <c r="I80" s="264">
        <f>300000*3*4</f>
        <v>3600000</v>
      </c>
      <c r="L80" s="104"/>
    </row>
    <row r="81" spans="1:35" s="103" customFormat="1" ht="20.100000000000001" customHeight="1" x14ac:dyDescent="0.15">
      <c r="A81" s="80"/>
      <c r="B81" s="109"/>
      <c r="C81" s="34" t="s">
        <v>51</v>
      </c>
      <c r="D81" s="126">
        <v>7400000</v>
      </c>
      <c r="E81" s="126">
        <f>I82+I83+I84</f>
        <v>7400000</v>
      </c>
      <c r="F81" s="131">
        <f t="shared" ref="F81" si="7">E81-D81</f>
        <v>0</v>
      </c>
      <c r="G81" s="184">
        <f>F81/E81*100</f>
        <v>0</v>
      </c>
      <c r="H81" s="277" t="s">
        <v>51</v>
      </c>
      <c r="I81" s="258"/>
      <c r="L81" s="104"/>
    </row>
    <row r="82" spans="1:35" s="144" customFormat="1" ht="20.100000000000001" customHeight="1" x14ac:dyDescent="0.15">
      <c r="A82" s="80"/>
      <c r="B82" s="109"/>
      <c r="C82" s="81"/>
      <c r="D82" s="127"/>
      <c r="E82" s="127"/>
      <c r="F82" s="136"/>
      <c r="G82" s="185"/>
      <c r="H82" s="257" t="s">
        <v>138</v>
      </c>
      <c r="I82" s="258">
        <f>500000*12</f>
        <v>6000000</v>
      </c>
      <c r="J82" s="227"/>
      <c r="K82" s="228"/>
      <c r="L82" s="229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28"/>
      <c r="AG82" s="228"/>
      <c r="AH82" s="228"/>
      <c r="AI82" s="228"/>
    </row>
    <row r="83" spans="1:35" s="103" customFormat="1" ht="20.100000000000001" customHeight="1" x14ac:dyDescent="0.15">
      <c r="A83" s="80"/>
      <c r="B83" s="109"/>
      <c r="C83" s="81"/>
      <c r="D83" s="127"/>
      <c r="E83" s="127"/>
      <c r="F83" s="136"/>
      <c r="G83" s="185"/>
      <c r="H83" s="257" t="s">
        <v>139</v>
      </c>
      <c r="I83" s="258">
        <f>100000*9</f>
        <v>900000</v>
      </c>
      <c r="L83" s="104"/>
    </row>
    <row r="84" spans="1:35" s="103" customFormat="1" ht="20.100000000000001" customHeight="1" x14ac:dyDescent="0.15">
      <c r="A84" s="145"/>
      <c r="B84" s="113"/>
      <c r="C84" s="108"/>
      <c r="D84" s="134"/>
      <c r="E84" s="134"/>
      <c r="F84" s="133"/>
      <c r="G84" s="190"/>
      <c r="H84" s="280" t="s">
        <v>170</v>
      </c>
      <c r="I84" s="264">
        <f>100000*5</f>
        <v>500000</v>
      </c>
      <c r="L84" s="104"/>
    </row>
    <row r="85" spans="1:35" s="103" customFormat="1" ht="20.100000000000001" customHeight="1" x14ac:dyDescent="0.15">
      <c r="A85" s="145" t="s">
        <v>24</v>
      </c>
      <c r="B85" s="140"/>
      <c r="C85" s="114"/>
      <c r="D85" s="137">
        <v>23041996</v>
      </c>
      <c r="E85" s="137">
        <f>E86</f>
        <v>23041996</v>
      </c>
      <c r="F85" s="132">
        <f t="shared" si="0"/>
        <v>0</v>
      </c>
      <c r="G85" s="193">
        <f>F85/E85*100</f>
        <v>0</v>
      </c>
      <c r="H85" s="280" t="s">
        <v>24</v>
      </c>
      <c r="I85" s="283"/>
      <c r="L85" s="104"/>
    </row>
    <row r="86" spans="1:35" s="103" customFormat="1" ht="20.100000000000001" customHeight="1" x14ac:dyDescent="0.15">
      <c r="A86" s="320"/>
      <c r="B86" s="233" t="s">
        <v>25</v>
      </c>
      <c r="C86" s="234"/>
      <c r="D86" s="124">
        <v>23041996</v>
      </c>
      <c r="E86" s="124">
        <f>E87+E93</f>
        <v>23041996</v>
      </c>
      <c r="F86" s="125">
        <f t="shared" si="0"/>
        <v>0</v>
      </c>
      <c r="G86" s="163">
        <f>F86/E86*100</f>
        <v>0</v>
      </c>
      <c r="H86" s="284" t="s">
        <v>25</v>
      </c>
      <c r="I86" s="254"/>
      <c r="L86" s="104"/>
    </row>
    <row r="87" spans="1:35" s="103" customFormat="1" ht="20.100000000000001" customHeight="1" x14ac:dyDescent="0.15">
      <c r="A87" s="320"/>
      <c r="B87" s="237"/>
      <c r="C87" s="34" t="s">
        <v>26</v>
      </c>
      <c r="D87" s="126">
        <v>19229996</v>
      </c>
      <c r="E87" s="126">
        <f>I88+I92+I89+I90+I91</f>
        <v>19229996</v>
      </c>
      <c r="F87" s="131">
        <f>E87-D87</f>
        <v>0</v>
      </c>
      <c r="G87" s="164">
        <f>F87/E87*100</f>
        <v>0</v>
      </c>
      <c r="H87" s="285" t="s">
        <v>26</v>
      </c>
      <c r="I87" s="286"/>
      <c r="L87" s="104"/>
    </row>
    <row r="88" spans="1:35" s="103" customFormat="1" ht="20.100000000000001" customHeight="1" x14ac:dyDescent="0.15">
      <c r="A88" s="107"/>
      <c r="B88" s="146"/>
      <c r="C88" s="81"/>
      <c r="D88" s="127"/>
      <c r="E88" s="127"/>
      <c r="F88" s="136"/>
      <c r="G88" s="164"/>
      <c r="H88" s="287" t="s">
        <v>141</v>
      </c>
      <c r="I88" s="258">
        <f>300000*4</f>
        <v>1200000</v>
      </c>
      <c r="L88" s="104"/>
    </row>
    <row r="89" spans="1:35" s="103" customFormat="1" ht="20.100000000000001" customHeight="1" x14ac:dyDescent="0.15">
      <c r="A89" s="107"/>
      <c r="B89" s="146"/>
      <c r="C89" s="81"/>
      <c r="D89" s="127"/>
      <c r="E89" s="127"/>
      <c r="F89" s="136"/>
      <c r="G89" s="164"/>
      <c r="H89" s="282" t="s">
        <v>120</v>
      </c>
      <c r="I89" s="258">
        <f>238333*12</f>
        <v>2859996</v>
      </c>
      <c r="L89" s="104"/>
    </row>
    <row r="90" spans="1:35" s="103" customFormat="1" ht="20.100000000000001" customHeight="1" x14ac:dyDescent="0.15">
      <c r="A90" s="107"/>
      <c r="B90" s="146"/>
      <c r="C90" s="81"/>
      <c r="D90" s="127"/>
      <c r="E90" s="127"/>
      <c r="F90" s="136"/>
      <c r="G90" s="164"/>
      <c r="H90" s="282" t="s">
        <v>157</v>
      </c>
      <c r="I90" s="258">
        <f>1800000*2</f>
        <v>3600000</v>
      </c>
      <c r="L90" s="104"/>
    </row>
    <row r="91" spans="1:35" s="103" customFormat="1" ht="20.100000000000001" customHeight="1" x14ac:dyDescent="0.15">
      <c r="A91" s="80"/>
      <c r="B91" s="109"/>
      <c r="C91" s="81"/>
      <c r="D91" s="127"/>
      <c r="E91" s="127"/>
      <c r="F91" s="136"/>
      <c r="G91" s="136"/>
      <c r="H91" s="257" t="s">
        <v>223</v>
      </c>
      <c r="I91" s="258">
        <f>1570000*1</f>
        <v>1570000</v>
      </c>
      <c r="L91" s="104"/>
    </row>
    <row r="92" spans="1:35" s="103" customFormat="1" ht="20.100000000000001" customHeight="1" x14ac:dyDescent="0.15">
      <c r="A92" s="107"/>
      <c r="B92" s="237"/>
      <c r="C92" s="108"/>
      <c r="D92" s="134"/>
      <c r="E92" s="134"/>
      <c r="F92" s="133"/>
      <c r="G92" s="192"/>
      <c r="H92" s="282" t="s">
        <v>226</v>
      </c>
      <c r="I92" s="264">
        <f>5000000*2</f>
        <v>10000000</v>
      </c>
      <c r="L92" s="104"/>
    </row>
    <row r="93" spans="1:35" s="103" customFormat="1" ht="20.100000000000001" customHeight="1" x14ac:dyDescent="0.15">
      <c r="A93" s="232"/>
      <c r="B93" s="146"/>
      <c r="C93" s="238" t="s">
        <v>92</v>
      </c>
      <c r="D93" s="127">
        <v>3812000</v>
      </c>
      <c r="E93" s="127">
        <f>I94+I97+I95+I96</f>
        <v>3812000</v>
      </c>
      <c r="F93" s="136">
        <f t="shared" si="0"/>
        <v>0</v>
      </c>
      <c r="G93" s="165">
        <f>F93/E93*100</f>
        <v>0</v>
      </c>
      <c r="H93" s="285" t="s">
        <v>92</v>
      </c>
      <c r="I93" s="256"/>
      <c r="L93" s="104"/>
    </row>
    <row r="94" spans="1:35" s="103" customFormat="1" ht="20.100000000000001" customHeight="1" x14ac:dyDescent="0.15">
      <c r="A94" s="107"/>
      <c r="B94" s="237"/>
      <c r="C94" s="240"/>
      <c r="D94" s="127"/>
      <c r="E94" s="127"/>
      <c r="F94" s="136"/>
      <c r="G94" s="164"/>
      <c r="H94" s="282" t="s">
        <v>137</v>
      </c>
      <c r="I94" s="258">
        <f>100000*1</f>
        <v>100000</v>
      </c>
      <c r="L94" s="104"/>
    </row>
    <row r="95" spans="1:35" s="103" customFormat="1" ht="20.100000000000001" customHeight="1" x14ac:dyDescent="0.15">
      <c r="A95" s="107"/>
      <c r="B95" s="237"/>
      <c r="C95" s="240"/>
      <c r="D95" s="127"/>
      <c r="E95" s="127"/>
      <c r="F95" s="136"/>
      <c r="G95" s="164"/>
      <c r="H95" s="282" t="s">
        <v>165</v>
      </c>
      <c r="I95" s="258">
        <f>1500000*1</f>
        <v>1500000</v>
      </c>
      <c r="L95" s="104"/>
    </row>
    <row r="96" spans="1:35" s="103" customFormat="1" ht="20.100000000000001" customHeight="1" x14ac:dyDescent="0.15">
      <c r="A96" s="107"/>
      <c r="B96" s="237"/>
      <c r="C96" s="240"/>
      <c r="D96" s="127"/>
      <c r="E96" s="127"/>
      <c r="F96" s="136"/>
      <c r="G96" s="164"/>
      <c r="H96" s="282" t="s">
        <v>217</v>
      </c>
      <c r="I96" s="258">
        <f>1056000*2</f>
        <v>2112000</v>
      </c>
      <c r="L96" s="104"/>
    </row>
    <row r="97" spans="1:12" s="103" customFormat="1" ht="20.100000000000001" customHeight="1" x14ac:dyDescent="0.15">
      <c r="A97" s="223"/>
      <c r="B97" s="110"/>
      <c r="C97" s="117"/>
      <c r="D97" s="129"/>
      <c r="E97" s="129"/>
      <c r="F97" s="135"/>
      <c r="G97" s="191"/>
      <c r="H97" s="288" t="s">
        <v>161</v>
      </c>
      <c r="I97" s="261">
        <f>100000*1</f>
        <v>100000</v>
      </c>
      <c r="L97" s="104"/>
    </row>
    <row r="98" spans="1:12" s="103" customFormat="1" ht="20.100000000000001" customHeight="1" x14ac:dyDescent="0.15">
      <c r="A98" s="145" t="s">
        <v>52</v>
      </c>
      <c r="B98" s="140"/>
      <c r="C98" s="114"/>
      <c r="D98" s="137">
        <v>49022930</v>
      </c>
      <c r="E98" s="137">
        <f>E99+E107+E138</f>
        <v>49322930</v>
      </c>
      <c r="F98" s="132">
        <f t="shared" ref="F98:F99" si="8">E98-D98</f>
        <v>300000</v>
      </c>
      <c r="G98" s="193">
        <f>F99/E98*100</f>
        <v>0.60823637200790792</v>
      </c>
      <c r="H98" s="280" t="s">
        <v>52</v>
      </c>
      <c r="I98" s="264"/>
      <c r="L98" s="104"/>
    </row>
    <row r="99" spans="1:12" s="103" customFormat="1" ht="20.100000000000001" customHeight="1" x14ac:dyDescent="0.15">
      <c r="A99" s="80"/>
      <c r="B99" s="233" t="s">
        <v>45</v>
      </c>
      <c r="C99" s="234"/>
      <c r="D99" s="124">
        <v>27400000</v>
      </c>
      <c r="E99" s="124">
        <f>E100+E103+E105</f>
        <v>27700000</v>
      </c>
      <c r="F99" s="125">
        <f t="shared" si="8"/>
        <v>300000</v>
      </c>
      <c r="G99" s="163">
        <f>F99/E99*100</f>
        <v>1.0830324909747291</v>
      </c>
      <c r="H99" s="284" t="s">
        <v>45</v>
      </c>
      <c r="I99" s="254"/>
      <c r="L99" s="104"/>
    </row>
    <row r="100" spans="1:12" s="103" customFormat="1" ht="20.100000000000001" customHeight="1" x14ac:dyDescent="0.15">
      <c r="A100" s="80"/>
      <c r="B100" s="81"/>
      <c r="C100" s="34" t="s">
        <v>53</v>
      </c>
      <c r="D100" s="126">
        <v>27200000</v>
      </c>
      <c r="E100" s="126">
        <f>I101+I102</f>
        <v>27200000</v>
      </c>
      <c r="F100" s="131">
        <f>E100-D100</f>
        <v>0</v>
      </c>
      <c r="G100" s="184">
        <f>F100/E100*100</f>
        <v>0</v>
      </c>
      <c r="H100" s="257" t="s">
        <v>53</v>
      </c>
      <c r="I100" s="258"/>
      <c r="L100" s="104"/>
    </row>
    <row r="101" spans="1:12" s="103" customFormat="1" ht="20.100000000000001" customHeight="1" x14ac:dyDescent="0.15">
      <c r="A101" s="80"/>
      <c r="B101" s="81"/>
      <c r="C101" s="81"/>
      <c r="D101" s="127"/>
      <c r="E101" s="127"/>
      <c r="F101" s="136"/>
      <c r="G101" s="188"/>
      <c r="H101" s="257" t="s">
        <v>216</v>
      </c>
      <c r="I101" s="258">
        <f>2500*40*247</f>
        <v>24700000</v>
      </c>
      <c r="L101" s="104"/>
    </row>
    <row r="102" spans="1:12" s="103" customFormat="1" ht="20.100000000000001" customHeight="1" x14ac:dyDescent="0.15">
      <c r="A102" s="80"/>
      <c r="B102" s="300"/>
      <c r="C102" s="301"/>
      <c r="D102" s="134"/>
      <c r="E102" s="134"/>
      <c r="F102" s="133"/>
      <c r="G102" s="192"/>
      <c r="H102" s="280" t="s">
        <v>162</v>
      </c>
      <c r="I102" s="264">
        <f>2500000*1</f>
        <v>2500000</v>
      </c>
      <c r="L102" s="104"/>
    </row>
    <row r="103" spans="1:12" s="103" customFormat="1" ht="19.5" customHeight="1" x14ac:dyDescent="0.15">
      <c r="A103" s="80"/>
      <c r="B103" s="300"/>
      <c r="C103" s="302" t="s">
        <v>54</v>
      </c>
      <c r="D103" s="126">
        <v>200000</v>
      </c>
      <c r="E103" s="126">
        <f>I104</f>
        <v>200000</v>
      </c>
      <c r="F103" s="131">
        <f>E103-D103</f>
        <v>0</v>
      </c>
      <c r="G103" s="184">
        <f>F103/E103*100</f>
        <v>0</v>
      </c>
      <c r="H103" s="277" t="s">
        <v>54</v>
      </c>
      <c r="I103" s="256"/>
      <c r="L103" s="104"/>
    </row>
    <row r="104" spans="1:12" s="103" customFormat="1" ht="19.5" customHeight="1" x14ac:dyDescent="0.15">
      <c r="A104" s="80"/>
      <c r="B104" s="300"/>
      <c r="C104" s="301"/>
      <c r="D104" s="134"/>
      <c r="E104" s="134"/>
      <c r="F104" s="133"/>
      <c r="G104" s="163"/>
      <c r="H104" s="280" t="s">
        <v>127</v>
      </c>
      <c r="I104" s="264">
        <f>100000*2</f>
        <v>200000</v>
      </c>
      <c r="L104" s="104"/>
    </row>
    <row r="105" spans="1:12" s="103" customFormat="1" ht="19.5" customHeight="1" x14ac:dyDescent="0.15">
      <c r="A105" s="80"/>
      <c r="B105" s="300"/>
      <c r="C105" s="302" t="s">
        <v>236</v>
      </c>
      <c r="D105" s="126">
        <v>0</v>
      </c>
      <c r="E105" s="126">
        <f>I106</f>
        <v>300000</v>
      </c>
      <c r="F105" s="131">
        <f>E105-D105</f>
        <v>300000</v>
      </c>
      <c r="G105" s="184">
        <f>F105/E105*100</f>
        <v>100</v>
      </c>
      <c r="H105" s="277" t="s">
        <v>237</v>
      </c>
      <c r="I105" s="256"/>
      <c r="L105" s="104"/>
    </row>
    <row r="106" spans="1:12" s="103" customFormat="1" ht="19.5" customHeight="1" x14ac:dyDescent="0.15">
      <c r="A106" s="80"/>
      <c r="B106" s="301"/>
      <c r="C106" s="301"/>
      <c r="D106" s="134"/>
      <c r="E106" s="134"/>
      <c r="F106" s="133"/>
      <c r="G106" s="163"/>
      <c r="H106" s="280" t="s">
        <v>238</v>
      </c>
      <c r="I106" s="264">
        <f>150000*2</f>
        <v>300000</v>
      </c>
      <c r="L106" s="104"/>
    </row>
    <row r="107" spans="1:12" s="103" customFormat="1" ht="19.5" customHeight="1" x14ac:dyDescent="0.15">
      <c r="A107" s="112"/>
      <c r="B107" s="303" t="s">
        <v>52</v>
      </c>
      <c r="C107" s="304"/>
      <c r="D107" s="127">
        <v>14649930</v>
      </c>
      <c r="E107" s="127">
        <f>E108+E110+E117+E119+E123+E136</f>
        <v>14649930</v>
      </c>
      <c r="F107" s="136">
        <f t="shared" ref="F107" si="9">E107-D107</f>
        <v>0</v>
      </c>
      <c r="G107" s="164">
        <f>F107/E107*100</f>
        <v>0</v>
      </c>
      <c r="H107" s="257" t="s">
        <v>52</v>
      </c>
      <c r="I107" s="264"/>
      <c r="L107" s="104"/>
    </row>
    <row r="108" spans="1:12" s="103" customFormat="1" ht="20.100000000000001" customHeight="1" x14ac:dyDescent="0.15">
      <c r="A108" s="112"/>
      <c r="B108" s="34"/>
      <c r="C108" s="81" t="s">
        <v>99</v>
      </c>
      <c r="D108" s="126">
        <v>700000</v>
      </c>
      <c r="E108" s="126">
        <f>I109</f>
        <v>700000</v>
      </c>
      <c r="F108" s="131">
        <f>E108-D108</f>
        <v>0</v>
      </c>
      <c r="G108" s="184">
        <f>F108/E108*100</f>
        <v>0</v>
      </c>
      <c r="H108" s="277" t="s">
        <v>99</v>
      </c>
      <c r="I108" s="258"/>
      <c r="L108" s="104"/>
    </row>
    <row r="109" spans="1:12" s="103" customFormat="1" ht="20.100000000000001" customHeight="1" x14ac:dyDescent="0.15">
      <c r="A109" s="80"/>
      <c r="B109" s="109"/>
      <c r="C109" s="108"/>
      <c r="D109" s="134"/>
      <c r="E109" s="134"/>
      <c r="F109" s="133"/>
      <c r="G109" s="163"/>
      <c r="H109" s="280" t="s">
        <v>211</v>
      </c>
      <c r="I109" s="258">
        <f>350000*2</f>
        <v>700000</v>
      </c>
      <c r="L109" s="104"/>
    </row>
    <row r="110" spans="1:12" s="103" customFormat="1" ht="20.100000000000001" customHeight="1" x14ac:dyDescent="0.15">
      <c r="A110" s="80"/>
      <c r="B110" s="81"/>
      <c r="C110" s="364" t="s">
        <v>95</v>
      </c>
      <c r="D110" s="127">
        <v>3840000</v>
      </c>
      <c r="E110" s="127">
        <f>I111+I112+I113+I114+I115+I116</f>
        <v>3840000</v>
      </c>
      <c r="F110" s="136">
        <f t="shared" ref="F110" si="10">E110-D110</f>
        <v>0</v>
      </c>
      <c r="G110" s="184">
        <f>F110/E110*100</f>
        <v>0</v>
      </c>
      <c r="H110" s="289" t="s">
        <v>95</v>
      </c>
      <c r="I110" s="256"/>
      <c r="L110" s="104"/>
    </row>
    <row r="111" spans="1:12" s="103" customFormat="1" ht="20.100000000000001" customHeight="1" x14ac:dyDescent="0.15">
      <c r="A111" s="80"/>
      <c r="B111" s="81"/>
      <c r="C111" s="365"/>
      <c r="D111" s="127"/>
      <c r="E111" s="127"/>
      <c r="F111" s="128"/>
      <c r="G111" s="185"/>
      <c r="H111" s="257" t="s">
        <v>146</v>
      </c>
      <c r="I111" s="258">
        <f>100000*12</f>
        <v>1200000</v>
      </c>
      <c r="L111" s="104"/>
    </row>
    <row r="112" spans="1:12" s="103" customFormat="1" ht="20.100000000000001" customHeight="1" x14ac:dyDescent="0.15">
      <c r="A112" s="80"/>
      <c r="B112" s="81"/>
      <c r="C112" s="225"/>
      <c r="D112" s="127"/>
      <c r="E112" s="127"/>
      <c r="F112" s="128"/>
      <c r="G112" s="185"/>
      <c r="H112" s="257" t="s">
        <v>147</v>
      </c>
      <c r="I112" s="258">
        <f>100000*6</f>
        <v>600000</v>
      </c>
      <c r="L112" s="104"/>
    </row>
    <row r="113" spans="1:66" s="103" customFormat="1" ht="20.100000000000001" customHeight="1" x14ac:dyDescent="0.15">
      <c r="A113" s="80"/>
      <c r="B113" s="81"/>
      <c r="C113" s="240"/>
      <c r="D113" s="127"/>
      <c r="E113" s="127"/>
      <c r="F113" s="128"/>
      <c r="G113" s="185"/>
      <c r="H113" s="257" t="s">
        <v>148</v>
      </c>
      <c r="I113" s="258">
        <f>50000*2</f>
        <v>100000</v>
      </c>
      <c r="L113" s="104"/>
    </row>
    <row r="114" spans="1:66" s="144" customFormat="1" ht="20.100000000000001" customHeight="1" x14ac:dyDescent="0.15">
      <c r="A114" s="112"/>
      <c r="B114" s="81"/>
      <c r="C114" s="240"/>
      <c r="D114" s="127"/>
      <c r="E114" s="127"/>
      <c r="F114" s="128"/>
      <c r="G114" s="185"/>
      <c r="H114" s="257" t="s">
        <v>214</v>
      </c>
      <c r="I114" s="258">
        <f>100000*6</f>
        <v>600000</v>
      </c>
      <c r="J114" s="228"/>
      <c r="K114" s="228"/>
      <c r="L114" s="229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  <c r="AI114" s="228"/>
      <c r="AJ114" s="228"/>
      <c r="AK114" s="228"/>
      <c r="AL114" s="228"/>
      <c r="AM114" s="228"/>
      <c r="AN114" s="228"/>
      <c r="AO114" s="228"/>
      <c r="AP114" s="228"/>
      <c r="AQ114" s="228"/>
      <c r="AR114" s="228"/>
      <c r="AS114" s="228"/>
      <c r="AT114" s="228"/>
      <c r="AU114" s="228"/>
      <c r="AV114" s="228"/>
      <c r="AW114" s="228"/>
      <c r="AX114" s="228"/>
      <c r="AY114" s="228"/>
      <c r="AZ114" s="228"/>
      <c r="BA114" s="228"/>
      <c r="BB114" s="228"/>
      <c r="BC114" s="228"/>
      <c r="BD114" s="228"/>
      <c r="BE114" s="228"/>
      <c r="BF114" s="228"/>
      <c r="BG114" s="228"/>
      <c r="BH114" s="228"/>
      <c r="BI114" s="228"/>
      <c r="BJ114" s="228"/>
      <c r="BK114" s="228"/>
      <c r="BL114" s="228"/>
      <c r="BM114" s="228"/>
      <c r="BN114" s="228"/>
    </row>
    <row r="115" spans="1:66" s="103" customFormat="1" ht="20.100000000000001" customHeight="1" x14ac:dyDescent="0.15">
      <c r="A115" s="80"/>
      <c r="B115" s="81"/>
      <c r="C115" s="240"/>
      <c r="D115" s="127"/>
      <c r="E115" s="127"/>
      <c r="F115" s="128"/>
      <c r="G115" s="185"/>
      <c r="H115" s="257" t="s">
        <v>149</v>
      </c>
      <c r="I115" s="258">
        <f>20000*2</f>
        <v>40000</v>
      </c>
      <c r="J115" s="227"/>
      <c r="K115" s="228"/>
      <c r="L115" s="229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28"/>
      <c r="AE115" s="228"/>
      <c r="AF115" s="228"/>
      <c r="AG115" s="228"/>
      <c r="AH115" s="228"/>
      <c r="AI115" s="228"/>
      <c r="AJ115" s="228"/>
      <c r="AK115" s="228"/>
      <c r="AL115" s="228"/>
      <c r="AM115" s="228"/>
      <c r="AN115" s="228"/>
      <c r="AO115" s="228"/>
      <c r="AP115" s="228"/>
      <c r="AQ115" s="228"/>
      <c r="AR115" s="228"/>
      <c r="AS115" s="228"/>
      <c r="AT115" s="228"/>
      <c r="AU115" s="228"/>
      <c r="AV115" s="228"/>
      <c r="AW115" s="228"/>
      <c r="AX115" s="228"/>
      <c r="AY115" s="228"/>
      <c r="AZ115" s="228"/>
      <c r="BA115" s="228"/>
      <c r="BB115" s="228"/>
      <c r="BC115" s="228"/>
      <c r="BD115" s="228"/>
      <c r="BE115" s="228"/>
      <c r="BF115" s="228"/>
      <c r="BG115" s="228"/>
      <c r="BH115" s="228"/>
      <c r="BI115" s="228"/>
      <c r="BJ115" s="228"/>
      <c r="BK115" s="228"/>
      <c r="BL115" s="228"/>
      <c r="BM115" s="228"/>
      <c r="BN115" s="228"/>
    </row>
    <row r="116" spans="1:66" s="103" customFormat="1" ht="20.100000000000001" customHeight="1" x14ac:dyDescent="0.15">
      <c r="A116" s="112"/>
      <c r="B116" s="81"/>
      <c r="C116" s="239"/>
      <c r="D116" s="134"/>
      <c r="E116" s="134"/>
      <c r="F116" s="132"/>
      <c r="G116" s="190"/>
      <c r="H116" s="280" t="s">
        <v>173</v>
      </c>
      <c r="I116" s="264">
        <f>50000*26</f>
        <v>1300000</v>
      </c>
      <c r="K116" s="228"/>
      <c r="L116" s="229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  <c r="AI116" s="228"/>
      <c r="AJ116" s="228"/>
      <c r="AK116" s="228"/>
      <c r="AL116" s="228"/>
      <c r="AM116" s="228"/>
      <c r="AN116" s="228"/>
      <c r="AO116" s="228"/>
      <c r="AP116" s="228"/>
      <c r="AQ116" s="228"/>
      <c r="AR116" s="228"/>
      <c r="AS116" s="228"/>
      <c r="AT116" s="228"/>
      <c r="AU116" s="228"/>
      <c r="AV116" s="228"/>
      <c r="AW116" s="228"/>
      <c r="AX116" s="228"/>
      <c r="AY116" s="228"/>
      <c r="AZ116" s="228"/>
      <c r="BA116" s="228"/>
      <c r="BB116" s="228"/>
      <c r="BC116" s="228"/>
      <c r="BD116" s="228"/>
      <c r="BE116" s="228"/>
      <c r="BF116" s="228"/>
      <c r="BG116" s="228"/>
      <c r="BH116" s="228"/>
      <c r="BI116" s="228"/>
      <c r="BJ116" s="228"/>
      <c r="BK116" s="228"/>
      <c r="BL116" s="228"/>
      <c r="BM116" s="228"/>
      <c r="BN116" s="228"/>
    </row>
    <row r="117" spans="1:66" s="103" customFormat="1" ht="20.100000000000001" customHeight="1" x14ac:dyDescent="0.15">
      <c r="A117" s="112"/>
      <c r="B117" s="81"/>
      <c r="C117" s="366" t="s">
        <v>156</v>
      </c>
      <c r="D117" s="127">
        <v>200000</v>
      </c>
      <c r="E117" s="127">
        <f>I118</f>
        <v>200000</v>
      </c>
      <c r="F117" s="136">
        <f>E117-D117</f>
        <v>0</v>
      </c>
      <c r="G117" s="165">
        <f>F117/E117*100</f>
        <v>0</v>
      </c>
      <c r="H117" s="257" t="s">
        <v>55</v>
      </c>
      <c r="I117" s="258"/>
      <c r="K117" s="228"/>
      <c r="L117" s="229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F117" s="228"/>
      <c r="AG117" s="228"/>
      <c r="AH117" s="228"/>
      <c r="AI117" s="228"/>
      <c r="AJ117" s="228"/>
      <c r="AK117" s="228"/>
      <c r="AL117" s="228"/>
      <c r="AM117" s="228"/>
      <c r="AN117" s="228"/>
      <c r="AO117" s="228"/>
      <c r="AP117" s="228"/>
      <c r="AQ117" s="228"/>
      <c r="AR117" s="228"/>
      <c r="AS117" s="228"/>
      <c r="AT117" s="228"/>
      <c r="AU117" s="228"/>
      <c r="AV117" s="228"/>
      <c r="AW117" s="228"/>
      <c r="AX117" s="228"/>
      <c r="AY117" s="228"/>
      <c r="AZ117" s="228"/>
      <c r="BA117" s="228"/>
      <c r="BB117" s="228"/>
      <c r="BC117" s="228"/>
      <c r="BD117" s="228"/>
      <c r="BE117" s="228"/>
      <c r="BF117" s="228"/>
      <c r="BG117" s="228"/>
      <c r="BH117" s="228"/>
      <c r="BI117" s="228"/>
      <c r="BJ117" s="228"/>
      <c r="BK117" s="228"/>
      <c r="BL117" s="228"/>
      <c r="BM117" s="228"/>
      <c r="BN117" s="228"/>
    </row>
    <row r="118" spans="1:66" s="103" customFormat="1" ht="20.100000000000001" customHeight="1" x14ac:dyDescent="0.15">
      <c r="A118" s="80"/>
      <c r="B118" s="109"/>
      <c r="C118" s="367"/>
      <c r="D118" s="127"/>
      <c r="E118" s="127"/>
      <c r="F118" s="132"/>
      <c r="G118" s="185"/>
      <c r="H118" s="257" t="s">
        <v>126</v>
      </c>
      <c r="I118" s="264">
        <f>50000*4</f>
        <v>200000</v>
      </c>
      <c r="K118" s="228"/>
      <c r="L118" s="229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  <c r="AI118" s="228"/>
      <c r="AJ118" s="228"/>
      <c r="AK118" s="228"/>
      <c r="AL118" s="228"/>
      <c r="AM118" s="228"/>
      <c r="AN118" s="228"/>
      <c r="AO118" s="228"/>
      <c r="AP118" s="228"/>
      <c r="AQ118" s="228"/>
      <c r="AR118" s="228"/>
      <c r="AS118" s="228"/>
      <c r="AT118" s="228"/>
      <c r="AU118" s="228"/>
      <c r="AV118" s="228"/>
      <c r="AW118" s="228"/>
      <c r="AX118" s="228"/>
      <c r="AY118" s="228"/>
      <c r="AZ118" s="228"/>
      <c r="BA118" s="228"/>
      <c r="BB118" s="228"/>
      <c r="BC118" s="228"/>
      <c r="BD118" s="228"/>
      <c r="BE118" s="228"/>
      <c r="BF118" s="228"/>
      <c r="BG118" s="228"/>
      <c r="BH118" s="228"/>
      <c r="BI118" s="228"/>
      <c r="BJ118" s="228"/>
      <c r="BK118" s="228"/>
      <c r="BL118" s="228"/>
      <c r="BM118" s="228"/>
      <c r="BN118" s="228"/>
    </row>
    <row r="119" spans="1:66" s="103" customFormat="1" ht="20.100000000000001" customHeight="1" x14ac:dyDescent="0.15">
      <c r="A119" s="80"/>
      <c r="B119" s="81"/>
      <c r="C119" s="364" t="s">
        <v>96</v>
      </c>
      <c r="D119" s="126">
        <v>1104000</v>
      </c>
      <c r="E119" s="126">
        <f>I120+I122+I121</f>
        <v>1104000</v>
      </c>
      <c r="F119" s="131">
        <f>E119-D119</f>
        <v>0</v>
      </c>
      <c r="G119" s="184">
        <f>F119/E119*100</f>
        <v>0</v>
      </c>
      <c r="H119" s="277" t="s">
        <v>96</v>
      </c>
      <c r="I119" s="258"/>
      <c r="K119" s="228"/>
      <c r="L119" s="229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8"/>
      <c r="AK119" s="228"/>
      <c r="AL119" s="228"/>
      <c r="AM119" s="228"/>
      <c r="AN119" s="228"/>
      <c r="AO119" s="228"/>
      <c r="AP119" s="228"/>
      <c r="AQ119" s="228"/>
      <c r="AR119" s="228"/>
      <c r="AS119" s="228"/>
      <c r="AT119" s="228"/>
      <c r="AU119" s="228"/>
      <c r="AV119" s="228"/>
      <c r="AW119" s="228"/>
      <c r="AX119" s="228"/>
      <c r="AY119" s="228"/>
      <c r="AZ119" s="228"/>
      <c r="BA119" s="228"/>
      <c r="BB119" s="228"/>
      <c r="BC119" s="228"/>
      <c r="BD119" s="228"/>
      <c r="BE119" s="228"/>
      <c r="BF119" s="228"/>
      <c r="BG119" s="228"/>
      <c r="BH119" s="228"/>
      <c r="BI119" s="228"/>
      <c r="BJ119" s="228"/>
      <c r="BK119" s="228"/>
      <c r="BL119" s="228"/>
      <c r="BM119" s="228"/>
      <c r="BN119" s="228"/>
    </row>
    <row r="120" spans="1:66" s="103" customFormat="1" ht="20.100000000000001" customHeight="1" x14ac:dyDescent="0.15">
      <c r="A120" s="80"/>
      <c r="B120" s="81"/>
      <c r="C120" s="365"/>
      <c r="D120" s="127"/>
      <c r="E120" s="127"/>
      <c r="F120" s="128"/>
      <c r="G120" s="188"/>
      <c r="H120" s="257" t="s">
        <v>150</v>
      </c>
      <c r="I120" s="258">
        <f>50000*6</f>
        <v>300000</v>
      </c>
      <c r="K120" s="228"/>
      <c r="L120" s="229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  <c r="AI120" s="228"/>
      <c r="AJ120" s="228"/>
      <c r="AK120" s="228"/>
      <c r="AL120" s="228"/>
      <c r="AM120" s="228"/>
      <c r="AN120" s="228"/>
      <c r="AO120" s="228"/>
      <c r="AP120" s="228"/>
      <c r="AQ120" s="228"/>
      <c r="AR120" s="228"/>
      <c r="AS120" s="228"/>
      <c r="AT120" s="228"/>
      <c r="AU120" s="228"/>
      <c r="AV120" s="228"/>
      <c r="AW120" s="228"/>
      <c r="AX120" s="228"/>
      <c r="AY120" s="228"/>
      <c r="AZ120" s="228"/>
      <c r="BA120" s="228"/>
      <c r="BB120" s="228"/>
      <c r="BC120" s="228"/>
      <c r="BD120" s="228"/>
      <c r="BE120" s="228"/>
      <c r="BF120" s="228"/>
      <c r="BG120" s="228"/>
      <c r="BH120" s="228"/>
      <c r="BI120" s="228"/>
      <c r="BJ120" s="228"/>
      <c r="BK120" s="228"/>
      <c r="BL120" s="228"/>
      <c r="BM120" s="228"/>
      <c r="BN120" s="228"/>
    </row>
    <row r="121" spans="1:66" s="103" customFormat="1" ht="20.100000000000001" customHeight="1" x14ac:dyDescent="0.15">
      <c r="A121" s="80"/>
      <c r="B121" s="81"/>
      <c r="C121" s="240"/>
      <c r="D121" s="127"/>
      <c r="E121" s="127"/>
      <c r="F121" s="128"/>
      <c r="G121" s="188"/>
      <c r="H121" s="257" t="s">
        <v>218</v>
      </c>
      <c r="I121" s="258">
        <f>50000*12</f>
        <v>600000</v>
      </c>
      <c r="K121" s="228"/>
      <c r="L121" s="229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  <c r="AM121" s="228"/>
      <c r="AN121" s="228"/>
      <c r="AO121" s="228"/>
      <c r="AP121" s="228"/>
      <c r="AQ121" s="228"/>
      <c r="AR121" s="228"/>
      <c r="AS121" s="228"/>
      <c r="AT121" s="228"/>
      <c r="AU121" s="228"/>
      <c r="AV121" s="228"/>
      <c r="AW121" s="228"/>
      <c r="AX121" s="228"/>
      <c r="AY121" s="228"/>
      <c r="AZ121" s="228"/>
      <c r="BA121" s="228"/>
      <c r="BB121" s="228"/>
      <c r="BC121" s="228"/>
      <c r="BD121" s="228"/>
      <c r="BE121" s="228"/>
      <c r="BF121" s="228"/>
      <c r="BG121" s="228"/>
      <c r="BH121" s="228"/>
      <c r="BI121" s="228"/>
      <c r="BJ121" s="228"/>
      <c r="BK121" s="228"/>
      <c r="BL121" s="228"/>
      <c r="BM121" s="228"/>
      <c r="BN121" s="228"/>
    </row>
    <row r="122" spans="1:66" s="103" customFormat="1" ht="20.100000000000001" customHeight="1" x14ac:dyDescent="0.15">
      <c r="A122" s="116"/>
      <c r="B122" s="117"/>
      <c r="C122" s="147"/>
      <c r="D122" s="129"/>
      <c r="E122" s="129"/>
      <c r="F122" s="130"/>
      <c r="G122" s="226"/>
      <c r="H122" s="275" t="s">
        <v>142</v>
      </c>
      <c r="I122" s="261">
        <f>51000*4</f>
        <v>204000</v>
      </c>
      <c r="K122" s="228"/>
      <c r="L122" s="229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  <c r="AH122" s="228"/>
      <c r="AI122" s="228"/>
      <c r="AJ122" s="228"/>
      <c r="AK122" s="228"/>
      <c r="AL122" s="228"/>
      <c r="AM122" s="228"/>
      <c r="AN122" s="228"/>
      <c r="AO122" s="228"/>
      <c r="AP122" s="228"/>
      <c r="AQ122" s="228"/>
      <c r="AR122" s="228"/>
      <c r="AS122" s="228"/>
      <c r="AT122" s="228"/>
      <c r="AU122" s="228"/>
      <c r="AV122" s="228"/>
      <c r="AW122" s="228"/>
      <c r="AX122" s="228"/>
      <c r="AY122" s="228"/>
      <c r="AZ122" s="228"/>
      <c r="BA122" s="228"/>
      <c r="BB122" s="228"/>
      <c r="BC122" s="228"/>
      <c r="BD122" s="228"/>
      <c r="BE122" s="228"/>
      <c r="BF122" s="228"/>
      <c r="BG122" s="228"/>
      <c r="BH122" s="228"/>
      <c r="BI122" s="228"/>
      <c r="BJ122" s="228"/>
      <c r="BK122" s="228"/>
      <c r="BL122" s="228"/>
      <c r="BM122" s="228"/>
      <c r="BN122" s="228"/>
    </row>
    <row r="123" spans="1:66" s="103" customFormat="1" ht="20.100000000000001" customHeight="1" x14ac:dyDescent="0.15">
      <c r="A123" s="80"/>
      <c r="B123" s="81"/>
      <c r="C123" s="366" t="s">
        <v>97</v>
      </c>
      <c r="D123" s="127">
        <v>8005930</v>
      </c>
      <c r="E123" s="127">
        <f>I124+I125+I128+I129+I130+I135+I131+I126+I127+I132+I133+I134</f>
        <v>8005930</v>
      </c>
      <c r="F123" s="136">
        <f>E123-D123</f>
        <v>0</v>
      </c>
      <c r="G123" s="188">
        <f>F123/E123*100</f>
        <v>0</v>
      </c>
      <c r="H123" s="290" t="s">
        <v>97</v>
      </c>
      <c r="I123" s="258"/>
      <c r="K123" s="228"/>
      <c r="L123" s="229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  <c r="AM123" s="228"/>
      <c r="AN123" s="228"/>
      <c r="AO123" s="228"/>
      <c r="AP123" s="228"/>
      <c r="AQ123" s="228"/>
      <c r="AR123" s="228"/>
      <c r="AS123" s="228"/>
      <c r="AT123" s="228"/>
      <c r="AU123" s="228"/>
      <c r="AV123" s="228"/>
      <c r="AW123" s="228"/>
      <c r="AX123" s="228"/>
      <c r="AY123" s="228"/>
      <c r="AZ123" s="228"/>
      <c r="BA123" s="228"/>
      <c r="BB123" s="228"/>
      <c r="BC123" s="228"/>
      <c r="BD123" s="228"/>
      <c r="BE123" s="228"/>
      <c r="BF123" s="228"/>
      <c r="BG123" s="228"/>
      <c r="BH123" s="228"/>
      <c r="BI123" s="228"/>
      <c r="BJ123" s="228"/>
      <c r="BK123" s="228"/>
      <c r="BL123" s="228"/>
      <c r="BM123" s="228"/>
      <c r="BN123" s="228"/>
    </row>
    <row r="124" spans="1:66" s="103" customFormat="1" ht="20.100000000000001" customHeight="1" x14ac:dyDescent="0.15">
      <c r="A124" s="112"/>
      <c r="B124" s="81"/>
      <c r="C124" s="366"/>
      <c r="D124" s="127"/>
      <c r="E124" s="127"/>
      <c r="F124" s="136"/>
      <c r="G124" s="188"/>
      <c r="H124" s="290" t="s">
        <v>151</v>
      </c>
      <c r="I124" s="258">
        <f>50000*12</f>
        <v>600000</v>
      </c>
      <c r="K124" s="228"/>
      <c r="L124" s="229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  <c r="AI124" s="228"/>
      <c r="AJ124" s="228"/>
      <c r="AK124" s="228"/>
      <c r="AL124" s="228"/>
      <c r="AM124" s="228"/>
      <c r="AN124" s="228"/>
      <c r="AO124" s="228"/>
      <c r="AP124" s="228"/>
      <c r="AQ124" s="228"/>
      <c r="AR124" s="228"/>
      <c r="AS124" s="228"/>
      <c r="AT124" s="228"/>
      <c r="AU124" s="228"/>
      <c r="AV124" s="228"/>
      <c r="AW124" s="228"/>
      <c r="AX124" s="228"/>
      <c r="AY124" s="228"/>
      <c r="AZ124" s="228"/>
      <c r="BA124" s="228"/>
      <c r="BB124" s="228"/>
      <c r="BC124" s="228"/>
      <c r="BD124" s="228"/>
      <c r="BE124" s="228"/>
      <c r="BF124" s="228"/>
      <c r="BG124" s="228"/>
      <c r="BH124" s="228"/>
      <c r="BI124" s="228"/>
      <c r="BJ124" s="228"/>
      <c r="BK124" s="228"/>
      <c r="BL124" s="228"/>
      <c r="BM124" s="228"/>
      <c r="BN124" s="228"/>
    </row>
    <row r="125" spans="1:66" s="103" customFormat="1" ht="20.100000000000001" customHeight="1" x14ac:dyDescent="0.15">
      <c r="A125" s="80"/>
      <c r="B125" s="81"/>
      <c r="C125" s="300"/>
      <c r="D125" s="127"/>
      <c r="E125" s="127"/>
      <c r="F125" s="136"/>
      <c r="G125" s="188"/>
      <c r="H125" s="290" t="s">
        <v>182</v>
      </c>
      <c r="I125" s="258">
        <f>230800*1</f>
        <v>230800</v>
      </c>
      <c r="K125" s="228"/>
      <c r="L125" s="229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228"/>
      <c r="Z125" s="228"/>
      <c r="AA125" s="228"/>
      <c r="AB125" s="228"/>
      <c r="AC125" s="228"/>
      <c r="AD125" s="228"/>
      <c r="AE125" s="228"/>
      <c r="AF125" s="228"/>
      <c r="AG125" s="228"/>
      <c r="AH125" s="228"/>
      <c r="AI125" s="228"/>
      <c r="AJ125" s="228"/>
      <c r="AK125" s="228"/>
      <c r="AL125" s="228"/>
      <c r="AM125" s="228"/>
      <c r="AN125" s="228"/>
      <c r="AO125" s="228"/>
      <c r="AP125" s="228"/>
      <c r="AQ125" s="228"/>
      <c r="AR125" s="228"/>
      <c r="AS125" s="228"/>
      <c r="AT125" s="228"/>
      <c r="AU125" s="228"/>
      <c r="AV125" s="228"/>
      <c r="AW125" s="228"/>
      <c r="AX125" s="228"/>
      <c r="AY125" s="228"/>
      <c r="AZ125" s="228"/>
      <c r="BA125" s="228"/>
      <c r="BB125" s="228"/>
      <c r="BC125" s="228"/>
      <c r="BD125" s="228"/>
      <c r="BE125" s="228"/>
      <c r="BF125" s="228"/>
      <c r="BG125" s="228"/>
      <c r="BH125" s="228"/>
      <c r="BI125" s="228"/>
      <c r="BJ125" s="228"/>
      <c r="BK125" s="228"/>
      <c r="BL125" s="228"/>
      <c r="BM125" s="228"/>
      <c r="BN125" s="228"/>
    </row>
    <row r="126" spans="1:66" s="103" customFormat="1" ht="20.100000000000001" customHeight="1" x14ac:dyDescent="0.15">
      <c r="A126" s="80"/>
      <c r="B126" s="81"/>
      <c r="C126" s="300"/>
      <c r="D126" s="127"/>
      <c r="E126" s="127"/>
      <c r="F126" s="136"/>
      <c r="G126" s="188"/>
      <c r="H126" s="290" t="s">
        <v>243</v>
      </c>
      <c r="I126" s="258">
        <f>807200*2</f>
        <v>1614400</v>
      </c>
      <c r="J126" s="88"/>
      <c r="K126" s="228"/>
      <c r="L126" s="229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28"/>
      <c r="Z126" s="228"/>
      <c r="AA126" s="228"/>
      <c r="AB126" s="228"/>
      <c r="AC126" s="228"/>
      <c r="AD126" s="228"/>
      <c r="AE126" s="228"/>
      <c r="AF126" s="228"/>
      <c r="AG126" s="228"/>
      <c r="AH126" s="228"/>
      <c r="AI126" s="228"/>
      <c r="AJ126" s="228"/>
      <c r="AK126" s="228"/>
      <c r="AL126" s="228"/>
      <c r="AM126" s="228"/>
      <c r="AN126" s="228"/>
      <c r="AO126" s="228"/>
      <c r="AP126" s="228"/>
      <c r="AQ126" s="228"/>
      <c r="AR126" s="228"/>
      <c r="AS126" s="228"/>
      <c r="AT126" s="228"/>
      <c r="AU126" s="228"/>
      <c r="AV126" s="228"/>
      <c r="AW126" s="228"/>
      <c r="AX126" s="228"/>
      <c r="AY126" s="228"/>
      <c r="AZ126" s="228"/>
      <c r="BA126" s="228"/>
      <c r="BB126" s="228"/>
      <c r="BC126" s="228"/>
      <c r="BD126" s="228"/>
      <c r="BE126" s="228"/>
      <c r="BF126" s="228"/>
      <c r="BG126" s="228"/>
      <c r="BH126" s="228"/>
      <c r="BI126" s="228"/>
      <c r="BJ126" s="228"/>
      <c r="BK126" s="228"/>
      <c r="BL126" s="228"/>
      <c r="BM126" s="228"/>
      <c r="BN126" s="228"/>
    </row>
    <row r="127" spans="1:66" s="103" customFormat="1" ht="20.100000000000001" customHeight="1" x14ac:dyDescent="0.15">
      <c r="A127" s="80"/>
      <c r="B127" s="81"/>
      <c r="C127" s="300"/>
      <c r="D127" s="127"/>
      <c r="E127" s="127"/>
      <c r="F127" s="136"/>
      <c r="G127" s="188"/>
      <c r="H127" s="290" t="s">
        <v>152</v>
      </c>
      <c r="I127" s="258">
        <f>150000*2</f>
        <v>300000</v>
      </c>
      <c r="K127" s="228"/>
      <c r="L127" s="229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  <c r="AH127" s="228"/>
      <c r="AI127" s="228"/>
      <c r="AJ127" s="228"/>
      <c r="AK127" s="228"/>
      <c r="AL127" s="228"/>
      <c r="AM127" s="228"/>
      <c r="AN127" s="228"/>
      <c r="AO127" s="228"/>
      <c r="AP127" s="228"/>
      <c r="AQ127" s="228"/>
      <c r="AR127" s="228"/>
      <c r="AS127" s="228"/>
      <c r="AT127" s="228"/>
      <c r="AU127" s="228"/>
      <c r="AV127" s="228"/>
      <c r="AW127" s="228"/>
      <c r="AX127" s="228"/>
      <c r="AY127" s="228"/>
      <c r="AZ127" s="228"/>
      <c r="BA127" s="228"/>
      <c r="BB127" s="228"/>
      <c r="BC127" s="228"/>
      <c r="BD127" s="228"/>
      <c r="BE127" s="228"/>
      <c r="BF127" s="228"/>
      <c r="BG127" s="228"/>
      <c r="BH127" s="228"/>
      <c r="BI127" s="228"/>
      <c r="BJ127" s="228"/>
      <c r="BK127" s="228"/>
      <c r="BL127" s="228"/>
      <c r="BM127" s="228"/>
      <c r="BN127" s="228"/>
    </row>
    <row r="128" spans="1:66" s="103" customFormat="1" ht="20.100000000000001" customHeight="1" x14ac:dyDescent="0.15">
      <c r="A128" s="80"/>
      <c r="B128" s="81"/>
      <c r="C128" s="300"/>
      <c r="D128" s="127"/>
      <c r="E128" s="127"/>
      <c r="F128" s="136"/>
      <c r="G128" s="188"/>
      <c r="H128" s="290" t="s">
        <v>203</v>
      </c>
      <c r="I128" s="258">
        <f>480000*2</f>
        <v>960000</v>
      </c>
      <c r="K128" s="228"/>
      <c r="L128" s="229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  <c r="AA128" s="228"/>
      <c r="AB128" s="228"/>
      <c r="AC128" s="228"/>
      <c r="AD128" s="228"/>
      <c r="AE128" s="228"/>
      <c r="AF128" s="228"/>
      <c r="AG128" s="228"/>
      <c r="AH128" s="228"/>
      <c r="AI128" s="228"/>
      <c r="AJ128" s="228"/>
      <c r="AK128" s="228"/>
      <c r="AL128" s="228"/>
      <c r="AM128" s="228"/>
      <c r="AN128" s="228"/>
      <c r="AO128" s="228"/>
      <c r="AP128" s="228"/>
      <c r="AQ128" s="228"/>
      <c r="AR128" s="228"/>
      <c r="AS128" s="228"/>
      <c r="AT128" s="228"/>
      <c r="AU128" s="228"/>
      <c r="AV128" s="228"/>
      <c r="AW128" s="228"/>
      <c r="AX128" s="228"/>
      <c r="AY128" s="228"/>
      <c r="AZ128" s="228"/>
      <c r="BA128" s="228"/>
      <c r="BB128" s="228"/>
      <c r="BC128" s="228"/>
      <c r="BD128" s="228"/>
      <c r="BE128" s="228"/>
      <c r="BF128" s="228"/>
      <c r="BG128" s="228"/>
      <c r="BH128" s="228"/>
      <c r="BI128" s="228"/>
      <c r="BJ128" s="228"/>
      <c r="BK128" s="228"/>
      <c r="BL128" s="228"/>
      <c r="BM128" s="228"/>
      <c r="BN128" s="228"/>
    </row>
    <row r="129" spans="1:66" s="103" customFormat="1" ht="20.100000000000001" customHeight="1" x14ac:dyDescent="0.15">
      <c r="A129" s="80"/>
      <c r="B129" s="81"/>
      <c r="C129" s="300"/>
      <c r="D129" s="127"/>
      <c r="E129" s="127"/>
      <c r="F129" s="136"/>
      <c r="G129" s="188"/>
      <c r="H129" s="290" t="s">
        <v>202</v>
      </c>
      <c r="I129" s="258">
        <f>10700*44*1</f>
        <v>470800</v>
      </c>
      <c r="K129" s="228"/>
      <c r="L129" s="229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28"/>
      <c r="Z129" s="228"/>
      <c r="AA129" s="228"/>
      <c r="AB129" s="228"/>
      <c r="AC129" s="228"/>
      <c r="AD129" s="228"/>
      <c r="AE129" s="228"/>
      <c r="AF129" s="228"/>
      <c r="AG129" s="228"/>
      <c r="AH129" s="228"/>
      <c r="AI129" s="228"/>
      <c r="AJ129" s="228"/>
      <c r="AK129" s="228"/>
      <c r="AL129" s="228"/>
      <c r="AM129" s="228"/>
      <c r="AN129" s="228"/>
      <c r="AO129" s="228"/>
      <c r="AP129" s="228"/>
      <c r="AQ129" s="228"/>
      <c r="AR129" s="228"/>
      <c r="AS129" s="228"/>
      <c r="AT129" s="228"/>
      <c r="AU129" s="228"/>
      <c r="AV129" s="228"/>
      <c r="AW129" s="228"/>
      <c r="AX129" s="228"/>
      <c r="AY129" s="228"/>
      <c r="AZ129" s="228"/>
      <c r="BA129" s="228"/>
      <c r="BB129" s="228"/>
      <c r="BC129" s="228"/>
      <c r="BD129" s="228"/>
      <c r="BE129" s="228"/>
      <c r="BF129" s="228"/>
      <c r="BG129" s="228"/>
      <c r="BH129" s="228"/>
      <c r="BI129" s="228"/>
      <c r="BJ129" s="228"/>
      <c r="BK129" s="228"/>
      <c r="BL129" s="228"/>
      <c r="BM129" s="228"/>
      <c r="BN129" s="228"/>
    </row>
    <row r="130" spans="1:66" s="103" customFormat="1" ht="20.100000000000001" customHeight="1" x14ac:dyDescent="0.15">
      <c r="A130" s="80"/>
      <c r="B130" s="81"/>
      <c r="C130" s="300"/>
      <c r="D130" s="127"/>
      <c r="E130" s="127"/>
      <c r="F130" s="136"/>
      <c r="G130" s="188"/>
      <c r="H130" s="290" t="s">
        <v>242</v>
      </c>
      <c r="I130" s="258">
        <f>185600*1</f>
        <v>185600</v>
      </c>
      <c r="K130" s="228"/>
      <c r="L130" s="229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28"/>
      <c r="Z130" s="228"/>
      <c r="AA130" s="228"/>
      <c r="AB130" s="228"/>
      <c r="AC130" s="228"/>
      <c r="AD130" s="228"/>
      <c r="AE130" s="228"/>
      <c r="AF130" s="228"/>
      <c r="AG130" s="228"/>
      <c r="AH130" s="228"/>
      <c r="AI130" s="228"/>
      <c r="AJ130" s="228"/>
      <c r="AK130" s="228"/>
      <c r="AL130" s="228"/>
      <c r="AM130" s="228"/>
      <c r="AN130" s="228"/>
      <c r="AO130" s="228"/>
      <c r="AP130" s="228"/>
      <c r="AQ130" s="228"/>
      <c r="AR130" s="228"/>
      <c r="AS130" s="228"/>
      <c r="AT130" s="228"/>
      <c r="AU130" s="228"/>
      <c r="AV130" s="228"/>
      <c r="AW130" s="228"/>
      <c r="AX130" s="228"/>
      <c r="AY130" s="228"/>
      <c r="AZ130" s="228"/>
      <c r="BA130" s="228"/>
      <c r="BB130" s="228"/>
      <c r="BC130" s="228"/>
      <c r="BD130" s="228"/>
      <c r="BE130" s="228"/>
      <c r="BF130" s="228"/>
      <c r="BG130" s="228"/>
      <c r="BH130" s="228"/>
      <c r="BI130" s="228"/>
      <c r="BJ130" s="228"/>
      <c r="BK130" s="228"/>
      <c r="BL130" s="228"/>
      <c r="BM130" s="228"/>
      <c r="BN130" s="228"/>
    </row>
    <row r="131" spans="1:66" s="103" customFormat="1" ht="20.100000000000001" customHeight="1" x14ac:dyDescent="0.15">
      <c r="A131" s="80"/>
      <c r="B131" s="81"/>
      <c r="C131" s="300"/>
      <c r="D131" s="127"/>
      <c r="E131" s="127"/>
      <c r="F131" s="136"/>
      <c r="G131" s="188"/>
      <c r="H131" s="290" t="s">
        <v>153</v>
      </c>
      <c r="I131" s="258">
        <f>150000*1</f>
        <v>150000</v>
      </c>
      <c r="K131" s="228"/>
      <c r="L131" s="229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  <c r="AA131" s="228"/>
      <c r="AB131" s="228"/>
      <c r="AC131" s="228"/>
      <c r="AD131" s="228"/>
      <c r="AE131" s="228"/>
      <c r="AF131" s="228"/>
      <c r="AG131" s="228"/>
      <c r="AH131" s="228"/>
      <c r="AI131" s="228"/>
      <c r="AJ131" s="228"/>
      <c r="AK131" s="228"/>
      <c r="AL131" s="228"/>
      <c r="AM131" s="228"/>
      <c r="AN131" s="228"/>
      <c r="AO131" s="228"/>
      <c r="AP131" s="228"/>
      <c r="AQ131" s="228"/>
      <c r="AR131" s="228"/>
      <c r="AS131" s="228"/>
      <c r="AT131" s="228"/>
      <c r="AU131" s="228"/>
      <c r="AV131" s="228"/>
      <c r="AW131" s="228"/>
      <c r="AX131" s="228"/>
      <c r="AY131" s="228"/>
      <c r="AZ131" s="228"/>
      <c r="BA131" s="228"/>
      <c r="BB131" s="228"/>
      <c r="BC131" s="228"/>
      <c r="BD131" s="228"/>
      <c r="BE131" s="228"/>
      <c r="BF131" s="228"/>
      <c r="BG131" s="228"/>
      <c r="BH131" s="228"/>
      <c r="BI131" s="228"/>
      <c r="BJ131" s="228"/>
      <c r="BK131" s="228"/>
      <c r="BL131" s="228"/>
      <c r="BM131" s="228"/>
      <c r="BN131" s="228"/>
    </row>
    <row r="132" spans="1:66" s="103" customFormat="1" ht="20.100000000000001" customHeight="1" x14ac:dyDescent="0.15">
      <c r="A132" s="80"/>
      <c r="B132" s="81"/>
      <c r="C132" s="300"/>
      <c r="D132" s="127"/>
      <c r="E132" s="127"/>
      <c r="F132" s="136"/>
      <c r="G132" s="188"/>
      <c r="H132" s="290" t="s">
        <v>154</v>
      </c>
      <c r="I132" s="258">
        <f>400000*4</f>
        <v>1600000</v>
      </c>
      <c r="K132" s="228"/>
      <c r="L132" s="229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8"/>
      <c r="AA132" s="228"/>
      <c r="AB132" s="228"/>
      <c r="AC132" s="228"/>
      <c r="AD132" s="228"/>
      <c r="AE132" s="228"/>
      <c r="AF132" s="228"/>
      <c r="AG132" s="228"/>
      <c r="AH132" s="228"/>
      <c r="AI132" s="228"/>
      <c r="AJ132" s="228"/>
      <c r="AK132" s="228"/>
      <c r="AL132" s="228"/>
      <c r="AM132" s="228"/>
      <c r="AN132" s="228"/>
      <c r="AO132" s="228"/>
      <c r="AP132" s="228"/>
      <c r="AQ132" s="228"/>
      <c r="AR132" s="228"/>
      <c r="AS132" s="228"/>
      <c r="AT132" s="228"/>
      <c r="AU132" s="228"/>
      <c r="AV132" s="228"/>
      <c r="AW132" s="228"/>
      <c r="AX132" s="228"/>
      <c r="AY132" s="228"/>
      <c r="AZ132" s="228"/>
      <c r="BA132" s="228"/>
      <c r="BB132" s="228"/>
      <c r="BC132" s="228"/>
      <c r="BD132" s="228"/>
      <c r="BE132" s="228"/>
      <c r="BF132" s="228"/>
      <c r="BG132" s="228"/>
      <c r="BH132" s="228"/>
      <c r="BI132" s="228"/>
      <c r="BJ132" s="228"/>
      <c r="BK132" s="228"/>
      <c r="BL132" s="228"/>
      <c r="BM132" s="228"/>
      <c r="BN132" s="228"/>
    </row>
    <row r="133" spans="1:66" s="103" customFormat="1" ht="20.100000000000001" customHeight="1" x14ac:dyDescent="0.15">
      <c r="A133" s="80"/>
      <c r="B133" s="81"/>
      <c r="C133" s="300"/>
      <c r="D133" s="127"/>
      <c r="E133" s="127"/>
      <c r="F133" s="136"/>
      <c r="G133" s="188"/>
      <c r="H133" s="290" t="s">
        <v>167</v>
      </c>
      <c r="I133" s="258">
        <f>600000*1</f>
        <v>600000</v>
      </c>
      <c r="K133" s="228"/>
      <c r="L133" s="229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  <c r="AC133" s="228"/>
      <c r="AD133" s="228"/>
      <c r="AE133" s="228"/>
      <c r="AF133" s="228"/>
      <c r="AG133" s="228"/>
      <c r="AH133" s="228"/>
      <c r="AI133" s="228"/>
      <c r="AJ133" s="228"/>
      <c r="AK133" s="228"/>
      <c r="AL133" s="228"/>
      <c r="AM133" s="228"/>
      <c r="AN133" s="228"/>
      <c r="AO133" s="228"/>
      <c r="AP133" s="228"/>
      <c r="AQ133" s="228"/>
      <c r="AR133" s="228"/>
      <c r="AS133" s="228"/>
      <c r="AT133" s="228"/>
      <c r="AU133" s="228"/>
      <c r="AV133" s="228"/>
      <c r="AW133" s="228"/>
      <c r="AX133" s="228"/>
      <c r="AY133" s="228"/>
      <c r="AZ133" s="228"/>
      <c r="BA133" s="228"/>
      <c r="BB133" s="228"/>
      <c r="BC133" s="228"/>
      <c r="BD133" s="228"/>
      <c r="BE133" s="228"/>
      <c r="BF133" s="228"/>
      <c r="BG133" s="228"/>
      <c r="BH133" s="228"/>
      <c r="BI133" s="228"/>
      <c r="BJ133" s="228"/>
      <c r="BK133" s="228"/>
      <c r="BL133" s="228"/>
      <c r="BM133" s="228"/>
      <c r="BN133" s="228"/>
    </row>
    <row r="134" spans="1:66" s="103" customFormat="1" ht="20.100000000000001" customHeight="1" x14ac:dyDescent="0.15">
      <c r="A134" s="80"/>
      <c r="B134" s="81"/>
      <c r="C134" s="300"/>
      <c r="D134" s="127"/>
      <c r="E134" s="127"/>
      <c r="F134" s="136"/>
      <c r="G134" s="188"/>
      <c r="H134" s="290" t="s">
        <v>210</v>
      </c>
      <c r="I134" s="258">
        <f>994330*1</f>
        <v>994330</v>
      </c>
      <c r="K134" s="228"/>
      <c r="L134" s="229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8"/>
      <c r="AA134" s="228"/>
      <c r="AB134" s="228"/>
      <c r="AC134" s="228"/>
      <c r="AD134" s="228"/>
      <c r="AE134" s="228"/>
      <c r="AF134" s="228"/>
      <c r="AG134" s="228"/>
      <c r="AH134" s="228"/>
      <c r="AI134" s="228"/>
      <c r="AJ134" s="228"/>
      <c r="AK134" s="228"/>
      <c r="AL134" s="228"/>
      <c r="AM134" s="228"/>
      <c r="AN134" s="228"/>
      <c r="AO134" s="228"/>
      <c r="AP134" s="228"/>
      <c r="AQ134" s="228"/>
      <c r="AR134" s="228"/>
      <c r="AS134" s="228"/>
      <c r="AT134" s="228"/>
      <c r="AU134" s="228"/>
      <c r="AV134" s="228"/>
      <c r="AW134" s="228"/>
      <c r="AX134" s="228"/>
      <c r="AY134" s="228"/>
      <c r="AZ134" s="228"/>
      <c r="BA134" s="228"/>
      <c r="BB134" s="228"/>
      <c r="BC134" s="228"/>
      <c r="BD134" s="228"/>
      <c r="BE134" s="228"/>
      <c r="BF134" s="228"/>
      <c r="BG134" s="228"/>
      <c r="BH134" s="228"/>
      <c r="BI134" s="228"/>
      <c r="BJ134" s="228"/>
      <c r="BK134" s="228"/>
      <c r="BL134" s="228"/>
      <c r="BM134" s="228"/>
      <c r="BN134" s="228"/>
    </row>
    <row r="135" spans="1:66" s="103" customFormat="1" ht="20.100000000000001" customHeight="1" x14ac:dyDescent="0.15">
      <c r="A135" s="80"/>
      <c r="B135" s="81"/>
      <c r="C135" s="300"/>
      <c r="D135" s="127"/>
      <c r="E135" s="127"/>
      <c r="F135" s="128"/>
      <c r="G135" s="185"/>
      <c r="H135" s="290" t="s">
        <v>168</v>
      </c>
      <c r="I135" s="264">
        <f>150000*2</f>
        <v>300000</v>
      </c>
      <c r="K135" s="228"/>
      <c r="L135" s="229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  <c r="AC135" s="228"/>
      <c r="AD135" s="228"/>
      <c r="AE135" s="228"/>
      <c r="AF135" s="228"/>
      <c r="AG135" s="228"/>
      <c r="AH135" s="228"/>
      <c r="AI135" s="228"/>
      <c r="AJ135" s="228"/>
      <c r="AK135" s="228"/>
      <c r="AL135" s="228"/>
      <c r="AM135" s="228"/>
      <c r="AN135" s="228"/>
      <c r="AO135" s="228"/>
      <c r="AP135" s="228"/>
      <c r="AQ135" s="228"/>
      <c r="AR135" s="228"/>
      <c r="AS135" s="228"/>
      <c r="AT135" s="228"/>
      <c r="AU135" s="228"/>
      <c r="AV135" s="228"/>
      <c r="AW135" s="228"/>
      <c r="AX135" s="228"/>
      <c r="AY135" s="228"/>
      <c r="AZ135" s="228"/>
      <c r="BA135" s="228"/>
      <c r="BB135" s="228"/>
      <c r="BC135" s="228"/>
      <c r="BD135" s="228"/>
      <c r="BE135" s="228"/>
      <c r="BF135" s="228"/>
      <c r="BG135" s="228"/>
      <c r="BH135" s="228"/>
      <c r="BI135" s="228"/>
      <c r="BJ135" s="228"/>
      <c r="BK135" s="228"/>
      <c r="BL135" s="228"/>
      <c r="BM135" s="228"/>
      <c r="BN135" s="228"/>
    </row>
    <row r="136" spans="1:66" s="103" customFormat="1" ht="19.5" customHeight="1" x14ac:dyDescent="0.15">
      <c r="A136" s="80"/>
      <c r="B136" s="81"/>
      <c r="C136" s="352" t="s">
        <v>98</v>
      </c>
      <c r="D136" s="126">
        <v>800000</v>
      </c>
      <c r="E136" s="126">
        <f>I137</f>
        <v>800000</v>
      </c>
      <c r="F136" s="131">
        <f>E136-D136</f>
        <v>0</v>
      </c>
      <c r="G136" s="166">
        <f>F136/E136*100</f>
        <v>0</v>
      </c>
      <c r="H136" s="273" t="s">
        <v>56</v>
      </c>
      <c r="I136" s="258"/>
      <c r="K136" s="228"/>
      <c r="L136" s="229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  <c r="AA136" s="228"/>
      <c r="AB136" s="228"/>
      <c r="AC136" s="228"/>
      <c r="AD136" s="228"/>
      <c r="AE136" s="228"/>
      <c r="AF136" s="228"/>
      <c r="AG136" s="228"/>
      <c r="AH136" s="228"/>
      <c r="AI136" s="228"/>
      <c r="AJ136" s="228"/>
      <c r="AK136" s="228"/>
      <c r="AL136" s="228"/>
      <c r="AM136" s="228"/>
      <c r="AN136" s="228"/>
      <c r="AO136" s="228"/>
      <c r="AP136" s="228"/>
      <c r="AQ136" s="228"/>
      <c r="AR136" s="228"/>
      <c r="AS136" s="228"/>
      <c r="AT136" s="228"/>
      <c r="AU136" s="228"/>
      <c r="AV136" s="228"/>
      <c r="AW136" s="228"/>
      <c r="AX136" s="228"/>
      <c r="AY136" s="228"/>
      <c r="AZ136" s="228"/>
      <c r="BA136" s="228"/>
      <c r="BB136" s="228"/>
      <c r="BC136" s="228"/>
      <c r="BD136" s="228"/>
      <c r="BE136" s="228"/>
      <c r="BF136" s="228"/>
      <c r="BG136" s="228"/>
      <c r="BH136" s="228"/>
      <c r="BI136" s="228"/>
      <c r="BJ136" s="228"/>
      <c r="BK136" s="228"/>
      <c r="BL136" s="228"/>
      <c r="BM136" s="228"/>
      <c r="BN136" s="228"/>
    </row>
    <row r="137" spans="1:66" s="103" customFormat="1" ht="20.100000000000001" customHeight="1" x14ac:dyDescent="0.15">
      <c r="A137" s="80"/>
      <c r="B137" s="81"/>
      <c r="C137" s="353"/>
      <c r="D137" s="127"/>
      <c r="E137" s="127"/>
      <c r="F137" s="128"/>
      <c r="G137" s="185"/>
      <c r="H137" s="290" t="s">
        <v>183</v>
      </c>
      <c r="I137" s="258">
        <f>200000*4</f>
        <v>800000</v>
      </c>
      <c r="K137" s="228"/>
      <c r="L137" s="229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  <c r="AA137" s="228"/>
      <c r="AB137" s="228"/>
      <c r="AC137" s="228"/>
      <c r="AD137" s="228"/>
      <c r="AE137" s="228"/>
      <c r="AF137" s="228"/>
      <c r="AG137" s="228"/>
      <c r="AH137" s="228"/>
      <c r="AI137" s="228"/>
      <c r="AJ137" s="228"/>
      <c r="AK137" s="228"/>
      <c r="AL137" s="228"/>
      <c r="AM137" s="228"/>
      <c r="AN137" s="228"/>
      <c r="AO137" s="228"/>
      <c r="AP137" s="228"/>
      <c r="AQ137" s="228"/>
      <c r="AR137" s="228"/>
      <c r="AS137" s="228"/>
      <c r="AT137" s="228"/>
      <c r="AU137" s="228"/>
      <c r="AV137" s="228"/>
      <c r="AW137" s="228"/>
      <c r="AX137" s="228"/>
      <c r="AY137" s="228"/>
      <c r="AZ137" s="228"/>
      <c r="BA137" s="228"/>
      <c r="BB137" s="228"/>
      <c r="BC137" s="228"/>
      <c r="BD137" s="228"/>
      <c r="BE137" s="228"/>
      <c r="BF137" s="228"/>
      <c r="BG137" s="228"/>
      <c r="BH137" s="228"/>
      <c r="BI137" s="228"/>
      <c r="BJ137" s="228"/>
      <c r="BK137" s="228"/>
      <c r="BL137" s="228"/>
      <c r="BM137" s="228"/>
      <c r="BN137" s="228"/>
    </row>
    <row r="138" spans="1:66" s="103" customFormat="1" ht="20.100000000000001" customHeight="1" x14ac:dyDescent="0.15">
      <c r="A138" s="80"/>
      <c r="B138" s="233" t="s">
        <v>57</v>
      </c>
      <c r="C138" s="305"/>
      <c r="D138" s="138">
        <v>6973000</v>
      </c>
      <c r="E138" s="138">
        <f>E139+E141+E147+E150</f>
        <v>6973000</v>
      </c>
      <c r="F138" s="139">
        <f>F139+F141+F147+F150</f>
        <v>0</v>
      </c>
      <c r="G138" s="194">
        <f>F138/E138*100</f>
        <v>0</v>
      </c>
      <c r="H138" s="284" t="s">
        <v>57</v>
      </c>
      <c r="I138" s="254"/>
      <c r="K138" s="228"/>
      <c r="L138" s="229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28"/>
      <c r="Z138" s="228"/>
      <c r="AA138" s="228"/>
      <c r="AB138" s="228"/>
      <c r="AC138" s="228"/>
      <c r="AD138" s="228"/>
      <c r="AE138" s="228"/>
      <c r="AF138" s="228"/>
      <c r="AG138" s="228"/>
      <c r="AH138" s="228"/>
      <c r="AI138" s="228"/>
      <c r="AJ138" s="228"/>
      <c r="AK138" s="228"/>
      <c r="AL138" s="228"/>
      <c r="AM138" s="228"/>
      <c r="AN138" s="228"/>
      <c r="AO138" s="228"/>
      <c r="AP138" s="228"/>
      <c r="AQ138" s="228"/>
      <c r="AR138" s="228"/>
      <c r="AS138" s="228"/>
      <c r="AT138" s="228"/>
      <c r="AU138" s="228"/>
      <c r="AV138" s="228"/>
      <c r="AW138" s="228"/>
      <c r="AX138" s="228"/>
      <c r="AY138" s="228"/>
      <c r="AZ138" s="228"/>
      <c r="BA138" s="228"/>
      <c r="BB138" s="228"/>
      <c r="BC138" s="228"/>
      <c r="BD138" s="228"/>
      <c r="BE138" s="228"/>
      <c r="BF138" s="228"/>
      <c r="BG138" s="228"/>
      <c r="BH138" s="228"/>
      <c r="BI138" s="228"/>
      <c r="BJ138" s="228"/>
      <c r="BK138" s="228"/>
      <c r="BL138" s="228"/>
      <c r="BM138" s="228"/>
      <c r="BN138" s="228"/>
    </row>
    <row r="139" spans="1:66" s="103" customFormat="1" ht="20.100000000000001" customHeight="1" x14ac:dyDescent="0.15">
      <c r="A139" s="80"/>
      <c r="B139" s="81"/>
      <c r="C139" s="238" t="s">
        <v>58</v>
      </c>
      <c r="D139" s="126">
        <v>4000000</v>
      </c>
      <c r="E139" s="126">
        <f>I140</f>
        <v>4000000</v>
      </c>
      <c r="F139" s="131">
        <f t="shared" ref="F139" si="11">E139-D139</f>
        <v>0</v>
      </c>
      <c r="G139" s="184">
        <f>F139/E139*100</f>
        <v>0</v>
      </c>
      <c r="H139" s="277" t="s">
        <v>60</v>
      </c>
      <c r="I139" s="258"/>
      <c r="K139" s="228"/>
      <c r="L139" s="229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8"/>
      <c r="AA139" s="228"/>
      <c r="AB139" s="228"/>
      <c r="AC139" s="228"/>
      <c r="AD139" s="228"/>
      <c r="AE139" s="228"/>
      <c r="AF139" s="228"/>
      <c r="AG139" s="228"/>
      <c r="AH139" s="228"/>
      <c r="AI139" s="228"/>
      <c r="AJ139" s="228"/>
      <c r="AK139" s="228"/>
      <c r="AL139" s="228"/>
      <c r="AM139" s="228"/>
      <c r="AN139" s="228"/>
      <c r="AO139" s="228"/>
      <c r="AP139" s="228"/>
      <c r="AQ139" s="228"/>
      <c r="AR139" s="228"/>
      <c r="AS139" s="228"/>
      <c r="AT139" s="228"/>
      <c r="AU139" s="228"/>
      <c r="AV139" s="228"/>
      <c r="AW139" s="228"/>
      <c r="AX139" s="228"/>
      <c r="AY139" s="228"/>
      <c r="AZ139" s="228"/>
      <c r="BA139" s="228"/>
      <c r="BB139" s="228"/>
      <c r="BC139" s="228"/>
      <c r="BD139" s="228"/>
      <c r="BE139" s="228"/>
      <c r="BF139" s="228"/>
      <c r="BG139" s="228"/>
      <c r="BH139" s="228"/>
      <c r="BI139" s="228"/>
      <c r="BJ139" s="228"/>
      <c r="BK139" s="228"/>
      <c r="BL139" s="228"/>
      <c r="BM139" s="228"/>
      <c r="BN139" s="228"/>
    </row>
    <row r="140" spans="1:66" s="103" customFormat="1" ht="20.100000000000001" customHeight="1" x14ac:dyDescent="0.15">
      <c r="A140" s="80"/>
      <c r="B140" s="81"/>
      <c r="C140" s="239"/>
      <c r="D140" s="127"/>
      <c r="E140" s="127"/>
      <c r="F140" s="128"/>
      <c r="G140" s="185"/>
      <c r="H140" s="280" t="s">
        <v>143</v>
      </c>
      <c r="I140" s="264">
        <f>1000000*4</f>
        <v>4000000</v>
      </c>
      <c r="K140" s="228"/>
      <c r="L140" s="229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8"/>
      <c r="AA140" s="228"/>
      <c r="AB140" s="228"/>
      <c r="AC140" s="228"/>
      <c r="AD140" s="228"/>
      <c r="AE140" s="228"/>
      <c r="AF140" s="228"/>
      <c r="AG140" s="228"/>
      <c r="AH140" s="228"/>
      <c r="AI140" s="228"/>
      <c r="AJ140" s="228"/>
      <c r="AK140" s="228"/>
      <c r="AL140" s="228"/>
      <c r="AM140" s="228"/>
      <c r="AN140" s="228"/>
      <c r="AO140" s="228"/>
      <c r="AP140" s="228"/>
      <c r="AQ140" s="228"/>
      <c r="AR140" s="228"/>
      <c r="AS140" s="228"/>
      <c r="AT140" s="228"/>
      <c r="AU140" s="228"/>
      <c r="AV140" s="228"/>
      <c r="AW140" s="228"/>
      <c r="AX140" s="228"/>
      <c r="AY140" s="228"/>
      <c r="AZ140" s="228"/>
      <c r="BA140" s="228"/>
      <c r="BB140" s="228"/>
      <c r="BC140" s="228"/>
      <c r="BD140" s="228"/>
      <c r="BE140" s="228"/>
      <c r="BF140" s="228"/>
      <c r="BG140" s="228"/>
      <c r="BH140" s="228"/>
      <c r="BI140" s="228"/>
      <c r="BJ140" s="228"/>
      <c r="BK140" s="228"/>
      <c r="BL140" s="228"/>
      <c r="BM140" s="228"/>
      <c r="BN140" s="228"/>
    </row>
    <row r="141" spans="1:66" s="103" customFormat="1" ht="20.100000000000001" customHeight="1" x14ac:dyDescent="0.15">
      <c r="A141" s="80"/>
      <c r="B141" s="81"/>
      <c r="C141" s="238" t="s">
        <v>59</v>
      </c>
      <c r="D141" s="126">
        <v>1373000</v>
      </c>
      <c r="E141" s="126">
        <f>I142+I143+I144+I146+I145</f>
        <v>1373000</v>
      </c>
      <c r="F141" s="131">
        <f>E141-D141</f>
        <v>0</v>
      </c>
      <c r="G141" s="184">
        <f>F141/E141*100</f>
        <v>0</v>
      </c>
      <c r="H141" s="257" t="s">
        <v>61</v>
      </c>
      <c r="I141" s="258"/>
      <c r="K141" s="228"/>
      <c r="L141" s="229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28"/>
      <c r="Z141" s="228"/>
      <c r="AA141" s="228"/>
      <c r="AB141" s="228"/>
      <c r="AC141" s="228"/>
      <c r="AD141" s="228"/>
      <c r="AE141" s="228"/>
      <c r="AF141" s="228"/>
      <c r="AG141" s="228"/>
      <c r="AH141" s="228"/>
      <c r="AI141" s="228"/>
      <c r="AJ141" s="228"/>
      <c r="AK141" s="228"/>
      <c r="AL141" s="228"/>
      <c r="AM141" s="228"/>
      <c r="AN141" s="228"/>
      <c r="AO141" s="228"/>
      <c r="AP141" s="228"/>
      <c r="AQ141" s="228"/>
      <c r="AR141" s="228"/>
      <c r="AS141" s="228"/>
      <c r="AT141" s="228"/>
      <c r="AU141" s="228"/>
      <c r="AV141" s="228"/>
      <c r="AW141" s="228"/>
      <c r="AX141" s="228"/>
      <c r="AY141" s="228"/>
      <c r="AZ141" s="228"/>
      <c r="BA141" s="228"/>
      <c r="BB141" s="228"/>
      <c r="BC141" s="228"/>
      <c r="BD141" s="228"/>
      <c r="BE141" s="228"/>
      <c r="BF141" s="228"/>
      <c r="BG141" s="228"/>
      <c r="BH141" s="228"/>
      <c r="BI141" s="228"/>
      <c r="BJ141" s="228"/>
      <c r="BK141" s="228"/>
      <c r="BL141" s="228"/>
      <c r="BM141" s="228"/>
      <c r="BN141" s="228"/>
    </row>
    <row r="142" spans="1:66" s="103" customFormat="1" ht="20.100000000000001" customHeight="1" x14ac:dyDescent="0.15">
      <c r="A142" s="80"/>
      <c r="B142" s="81"/>
      <c r="C142" s="240"/>
      <c r="D142" s="127"/>
      <c r="E142" s="127"/>
      <c r="F142" s="128"/>
      <c r="G142" s="185"/>
      <c r="H142" s="257" t="s">
        <v>175</v>
      </c>
      <c r="I142" s="258">
        <f>200000*2</f>
        <v>400000</v>
      </c>
      <c r="K142" s="228"/>
      <c r="L142" s="229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28"/>
      <c r="Z142" s="228"/>
      <c r="AA142" s="228"/>
      <c r="AB142" s="228"/>
      <c r="AC142" s="228"/>
      <c r="AD142" s="228"/>
      <c r="AE142" s="228"/>
      <c r="AF142" s="228"/>
      <c r="AG142" s="228"/>
      <c r="AH142" s="228"/>
      <c r="AI142" s="228"/>
      <c r="AJ142" s="228"/>
      <c r="AK142" s="228"/>
      <c r="AL142" s="228"/>
      <c r="AM142" s="228"/>
      <c r="AN142" s="228"/>
      <c r="AO142" s="228"/>
      <c r="AP142" s="228"/>
      <c r="AQ142" s="228"/>
      <c r="AR142" s="228"/>
      <c r="AS142" s="228"/>
      <c r="AT142" s="228"/>
      <c r="AU142" s="228"/>
      <c r="AV142" s="228"/>
      <c r="AW142" s="228"/>
      <c r="AX142" s="228"/>
      <c r="AY142" s="228"/>
      <c r="AZ142" s="228"/>
      <c r="BA142" s="228"/>
      <c r="BB142" s="228"/>
      <c r="BC142" s="228"/>
      <c r="BD142" s="228"/>
      <c r="BE142" s="228"/>
      <c r="BF142" s="228"/>
      <c r="BG142" s="228"/>
      <c r="BH142" s="228"/>
      <c r="BI142" s="228"/>
      <c r="BJ142" s="228"/>
      <c r="BK142" s="228"/>
      <c r="BL142" s="228"/>
      <c r="BM142" s="228"/>
      <c r="BN142" s="228"/>
    </row>
    <row r="143" spans="1:66" s="103" customFormat="1" ht="20.100000000000001" customHeight="1" x14ac:dyDescent="0.15">
      <c r="A143" s="80"/>
      <c r="B143" s="81"/>
      <c r="C143" s="240"/>
      <c r="D143" s="127"/>
      <c r="E143" s="127"/>
      <c r="F143" s="128"/>
      <c r="G143" s="185"/>
      <c r="H143" s="257" t="s">
        <v>123</v>
      </c>
      <c r="I143" s="258">
        <f>28000*6</f>
        <v>168000</v>
      </c>
      <c r="K143" s="228"/>
      <c r="L143" s="229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28"/>
      <c r="Z143" s="228"/>
      <c r="AA143" s="228"/>
      <c r="AB143" s="228"/>
      <c r="AC143" s="228"/>
      <c r="AD143" s="228"/>
      <c r="AE143" s="228"/>
      <c r="AF143" s="228"/>
      <c r="AG143" s="228"/>
      <c r="AH143" s="228"/>
      <c r="AI143" s="228"/>
      <c r="AJ143" s="228"/>
      <c r="AK143" s="228"/>
      <c r="AL143" s="228"/>
      <c r="AM143" s="228"/>
      <c r="AN143" s="228"/>
      <c r="AO143" s="228"/>
      <c r="AP143" s="228"/>
      <c r="AQ143" s="228"/>
      <c r="AR143" s="228"/>
      <c r="AS143" s="228"/>
      <c r="AT143" s="228"/>
      <c r="AU143" s="228"/>
      <c r="AV143" s="228"/>
      <c r="AW143" s="228"/>
      <c r="AX143" s="228"/>
      <c r="AY143" s="228"/>
      <c r="AZ143" s="228"/>
      <c r="BA143" s="228"/>
      <c r="BB143" s="228"/>
      <c r="BC143" s="228"/>
      <c r="BD143" s="228"/>
      <c r="BE143" s="228"/>
      <c r="BF143" s="228"/>
      <c r="BG143" s="228"/>
      <c r="BH143" s="228"/>
      <c r="BI143" s="228"/>
      <c r="BJ143" s="228"/>
      <c r="BK143" s="228"/>
      <c r="BL143" s="228"/>
      <c r="BM143" s="228"/>
      <c r="BN143" s="228"/>
    </row>
    <row r="144" spans="1:66" s="103" customFormat="1" ht="20.100000000000001" customHeight="1" x14ac:dyDescent="0.15">
      <c r="A144" s="80"/>
      <c r="B144" s="81"/>
      <c r="C144" s="240"/>
      <c r="D144" s="127"/>
      <c r="E144" s="127"/>
      <c r="F144" s="128"/>
      <c r="G144" s="185"/>
      <c r="H144" s="257" t="s">
        <v>134</v>
      </c>
      <c r="I144" s="258">
        <f>35000*1</f>
        <v>35000</v>
      </c>
      <c r="K144" s="228"/>
      <c r="L144" s="229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28"/>
      <c r="Z144" s="228"/>
      <c r="AA144" s="228"/>
      <c r="AB144" s="228"/>
      <c r="AC144" s="228"/>
      <c r="AD144" s="228"/>
      <c r="AE144" s="228"/>
      <c r="AF144" s="228"/>
      <c r="AG144" s="228"/>
      <c r="AH144" s="228"/>
      <c r="AI144" s="228"/>
      <c r="AJ144" s="228"/>
      <c r="AK144" s="228"/>
      <c r="AL144" s="228"/>
      <c r="AM144" s="228"/>
      <c r="AN144" s="228"/>
      <c r="AO144" s="228"/>
      <c r="AP144" s="228"/>
      <c r="AQ144" s="228"/>
      <c r="AR144" s="228"/>
      <c r="AS144" s="228"/>
      <c r="AT144" s="228"/>
      <c r="AU144" s="228"/>
      <c r="AV144" s="228"/>
      <c r="AW144" s="228"/>
      <c r="AX144" s="228"/>
      <c r="AY144" s="228"/>
      <c r="AZ144" s="228"/>
      <c r="BA144" s="228"/>
      <c r="BB144" s="228"/>
      <c r="BC144" s="228"/>
      <c r="BD144" s="228"/>
      <c r="BE144" s="228"/>
      <c r="BF144" s="228"/>
      <c r="BG144" s="228"/>
      <c r="BH144" s="228"/>
      <c r="BI144" s="228"/>
      <c r="BJ144" s="228"/>
      <c r="BK144" s="228"/>
      <c r="BL144" s="228"/>
      <c r="BM144" s="228"/>
      <c r="BN144" s="228"/>
    </row>
    <row r="145" spans="1:66" s="103" customFormat="1" ht="20.100000000000001" customHeight="1" x14ac:dyDescent="0.15">
      <c r="A145" s="80"/>
      <c r="B145" s="81"/>
      <c r="C145" s="240"/>
      <c r="D145" s="127"/>
      <c r="E145" s="127"/>
      <c r="F145" s="128"/>
      <c r="G145" s="185"/>
      <c r="H145" s="257" t="s">
        <v>222</v>
      </c>
      <c r="I145" s="258">
        <f>162500*4</f>
        <v>650000</v>
      </c>
      <c r="K145" s="228"/>
      <c r="L145" s="229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28"/>
      <c r="Z145" s="228"/>
      <c r="AA145" s="228"/>
      <c r="AB145" s="228"/>
      <c r="AC145" s="228"/>
      <c r="AD145" s="228"/>
      <c r="AE145" s="228"/>
      <c r="AF145" s="228"/>
      <c r="AG145" s="228"/>
      <c r="AH145" s="228"/>
      <c r="AI145" s="228"/>
      <c r="AJ145" s="228"/>
      <c r="AK145" s="228"/>
      <c r="AL145" s="228"/>
      <c r="AM145" s="228"/>
      <c r="AN145" s="228"/>
      <c r="AO145" s="228"/>
      <c r="AP145" s="228"/>
      <c r="AQ145" s="228"/>
      <c r="AR145" s="228"/>
      <c r="AS145" s="228"/>
      <c r="AT145" s="228"/>
      <c r="AU145" s="228"/>
      <c r="AV145" s="228"/>
      <c r="AW145" s="228"/>
      <c r="AX145" s="228"/>
      <c r="AY145" s="228"/>
      <c r="AZ145" s="228"/>
      <c r="BA145" s="228"/>
      <c r="BB145" s="228"/>
      <c r="BC145" s="228"/>
      <c r="BD145" s="228"/>
      <c r="BE145" s="228"/>
      <c r="BF145" s="228"/>
      <c r="BG145" s="228"/>
      <c r="BH145" s="228"/>
      <c r="BI145" s="228"/>
      <c r="BJ145" s="228"/>
      <c r="BK145" s="228"/>
      <c r="BL145" s="228"/>
      <c r="BM145" s="228"/>
      <c r="BN145" s="228"/>
    </row>
    <row r="146" spans="1:66" s="103" customFormat="1" ht="20.100000000000001" customHeight="1" x14ac:dyDescent="0.15">
      <c r="A146" s="116"/>
      <c r="B146" s="117"/>
      <c r="C146" s="147"/>
      <c r="D146" s="129"/>
      <c r="E146" s="129"/>
      <c r="F146" s="130"/>
      <c r="G146" s="187"/>
      <c r="H146" s="275" t="s">
        <v>130</v>
      </c>
      <c r="I146" s="261">
        <f>30000*4</f>
        <v>120000</v>
      </c>
      <c r="J146" s="227"/>
      <c r="K146" s="228"/>
      <c r="L146" s="229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8"/>
      <c r="Z146" s="228"/>
      <c r="AA146" s="228"/>
      <c r="AB146" s="228"/>
      <c r="AC146" s="228"/>
      <c r="AD146" s="228"/>
      <c r="AE146" s="228"/>
      <c r="AF146" s="228"/>
      <c r="AG146" s="228"/>
      <c r="AH146" s="228"/>
      <c r="AI146" s="228"/>
      <c r="AJ146" s="228"/>
      <c r="AK146" s="228"/>
      <c r="AL146" s="228"/>
      <c r="AM146" s="228"/>
      <c r="AN146" s="228"/>
      <c r="AO146" s="228"/>
      <c r="AP146" s="228"/>
      <c r="AQ146" s="228"/>
      <c r="AR146" s="228"/>
      <c r="AS146" s="228"/>
      <c r="AT146" s="228"/>
      <c r="AU146" s="228"/>
      <c r="AV146" s="228"/>
      <c r="AW146" s="228"/>
      <c r="AX146" s="228"/>
      <c r="AY146" s="228"/>
      <c r="AZ146" s="228"/>
      <c r="BA146" s="228"/>
      <c r="BB146" s="228"/>
      <c r="BC146" s="228"/>
      <c r="BD146" s="228"/>
      <c r="BE146" s="228"/>
      <c r="BF146" s="228"/>
      <c r="BG146" s="228"/>
      <c r="BH146" s="228"/>
      <c r="BI146" s="228"/>
      <c r="BJ146" s="228"/>
      <c r="BK146" s="228"/>
      <c r="BL146" s="228"/>
      <c r="BM146" s="228"/>
      <c r="BN146" s="228"/>
    </row>
    <row r="147" spans="1:66" s="144" customFormat="1" ht="20.100000000000001" customHeight="1" x14ac:dyDescent="0.15">
      <c r="A147" s="80"/>
      <c r="B147" s="81"/>
      <c r="C147" s="149" t="s">
        <v>68</v>
      </c>
      <c r="D147" s="127">
        <v>1400000</v>
      </c>
      <c r="E147" s="127">
        <f>I148+I149</f>
        <v>1400000</v>
      </c>
      <c r="F147" s="136">
        <f>E147-D147</f>
        <v>0</v>
      </c>
      <c r="G147" s="165">
        <f>F147/E147*100</f>
        <v>0</v>
      </c>
      <c r="H147" s="257" t="s">
        <v>62</v>
      </c>
      <c r="I147" s="258"/>
      <c r="J147" s="228"/>
      <c r="K147" s="228"/>
      <c r="L147" s="229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28"/>
      <c r="Z147" s="228"/>
      <c r="AA147" s="228"/>
      <c r="AB147" s="228"/>
      <c r="AC147" s="228"/>
      <c r="AD147" s="228"/>
      <c r="AE147" s="228"/>
      <c r="AF147" s="228"/>
      <c r="AG147" s="228"/>
      <c r="AH147" s="228"/>
      <c r="AI147" s="228"/>
      <c r="AJ147" s="228"/>
      <c r="AK147" s="228"/>
      <c r="AL147" s="228"/>
      <c r="AM147" s="228"/>
      <c r="AN147" s="228"/>
      <c r="AO147" s="228"/>
      <c r="AP147" s="228"/>
      <c r="AQ147" s="228"/>
      <c r="AR147" s="228"/>
      <c r="AS147" s="228"/>
      <c r="AT147" s="228"/>
      <c r="AU147" s="228"/>
      <c r="AV147" s="228"/>
      <c r="AW147" s="228"/>
      <c r="AX147" s="228"/>
      <c r="AY147" s="228"/>
      <c r="AZ147" s="228"/>
      <c r="BA147" s="228"/>
      <c r="BB147" s="228"/>
      <c r="BC147" s="228"/>
      <c r="BD147" s="228"/>
      <c r="BE147" s="228"/>
      <c r="BF147" s="228"/>
      <c r="BG147" s="228"/>
      <c r="BH147" s="228"/>
      <c r="BI147" s="228"/>
      <c r="BJ147" s="228"/>
      <c r="BK147" s="228"/>
      <c r="BL147" s="228"/>
      <c r="BM147" s="228"/>
      <c r="BN147" s="228"/>
    </row>
    <row r="148" spans="1:66" s="103" customFormat="1" ht="20.100000000000001" customHeight="1" x14ac:dyDescent="0.15">
      <c r="A148" s="80"/>
      <c r="B148" s="81"/>
      <c r="C148" s="150"/>
      <c r="D148" s="127"/>
      <c r="E148" s="127"/>
      <c r="F148" s="128"/>
      <c r="G148" s="185"/>
      <c r="H148" s="257" t="s">
        <v>155</v>
      </c>
      <c r="I148" s="258">
        <f>300000*2</f>
        <v>600000</v>
      </c>
      <c r="J148" s="227"/>
      <c r="K148" s="228"/>
      <c r="L148" s="229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28"/>
      <c r="Z148" s="228"/>
      <c r="AA148" s="228"/>
      <c r="AB148" s="228"/>
      <c r="AC148" s="228"/>
      <c r="AD148" s="228"/>
      <c r="AE148" s="228"/>
      <c r="AF148" s="228"/>
      <c r="AG148" s="228"/>
      <c r="AH148" s="228"/>
      <c r="AI148" s="228"/>
      <c r="AJ148" s="228"/>
      <c r="AK148" s="228"/>
      <c r="AL148" s="228"/>
      <c r="AM148" s="228"/>
      <c r="AN148" s="228"/>
      <c r="AO148" s="228"/>
      <c r="AP148" s="228"/>
      <c r="AQ148" s="228"/>
      <c r="AR148" s="228"/>
      <c r="AS148" s="228"/>
      <c r="AT148" s="228"/>
      <c r="AU148" s="228"/>
      <c r="AV148" s="228"/>
      <c r="AW148" s="228"/>
      <c r="AX148" s="228"/>
      <c r="AY148" s="228"/>
      <c r="AZ148" s="228"/>
      <c r="BA148" s="228"/>
      <c r="BB148" s="228"/>
      <c r="BC148" s="228"/>
      <c r="BD148" s="228"/>
      <c r="BE148" s="228"/>
      <c r="BF148" s="228"/>
      <c r="BG148" s="228"/>
      <c r="BH148" s="228"/>
      <c r="BI148" s="228"/>
      <c r="BJ148" s="228"/>
      <c r="BK148" s="228"/>
      <c r="BL148" s="228"/>
      <c r="BM148" s="228"/>
      <c r="BN148" s="228"/>
    </row>
    <row r="149" spans="1:66" s="103" customFormat="1" ht="20.100000000000001" customHeight="1" x14ac:dyDescent="0.15">
      <c r="A149" s="80"/>
      <c r="B149" s="108"/>
      <c r="C149" s="151"/>
      <c r="D149" s="134"/>
      <c r="E149" s="134"/>
      <c r="F149" s="132"/>
      <c r="G149" s="190"/>
      <c r="H149" s="280" t="s">
        <v>132</v>
      </c>
      <c r="I149" s="264">
        <f>200000*4</f>
        <v>800000</v>
      </c>
      <c r="K149" s="228"/>
      <c r="L149" s="229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28"/>
      <c r="Z149" s="228"/>
      <c r="AA149" s="228"/>
      <c r="AB149" s="228"/>
      <c r="AC149" s="228"/>
      <c r="AD149" s="228"/>
      <c r="AE149" s="228"/>
      <c r="AF149" s="228"/>
      <c r="AG149" s="228"/>
      <c r="AH149" s="228"/>
      <c r="AI149" s="228"/>
      <c r="AJ149" s="228"/>
      <c r="AK149" s="228"/>
      <c r="AL149" s="228"/>
      <c r="AM149" s="228"/>
      <c r="AN149" s="228"/>
      <c r="AO149" s="228"/>
      <c r="AP149" s="228"/>
      <c r="AQ149" s="228"/>
      <c r="AR149" s="228"/>
      <c r="AS149" s="228"/>
      <c r="AT149" s="228"/>
      <c r="AU149" s="228"/>
      <c r="AV149" s="228"/>
      <c r="AW149" s="228"/>
      <c r="AX149" s="228"/>
      <c r="AY149" s="228"/>
      <c r="AZ149" s="228"/>
      <c r="BA149" s="228"/>
      <c r="BB149" s="228"/>
      <c r="BC149" s="228"/>
      <c r="BD149" s="228"/>
      <c r="BE149" s="228"/>
      <c r="BF149" s="228"/>
      <c r="BG149" s="228"/>
      <c r="BH149" s="228"/>
      <c r="BI149" s="228"/>
      <c r="BJ149" s="228"/>
      <c r="BK149" s="228"/>
      <c r="BL149" s="228"/>
      <c r="BM149" s="228"/>
      <c r="BN149" s="228"/>
    </row>
    <row r="150" spans="1:66" s="103" customFormat="1" ht="20.100000000000001" customHeight="1" x14ac:dyDescent="0.15">
      <c r="A150" s="112"/>
      <c r="B150" s="81"/>
      <c r="C150" s="150" t="s">
        <v>63</v>
      </c>
      <c r="D150" s="127">
        <v>200000</v>
      </c>
      <c r="E150" s="127">
        <f>I151</f>
        <v>200000</v>
      </c>
      <c r="F150" s="136">
        <f>E150-D150</f>
        <v>0</v>
      </c>
      <c r="G150" s="165">
        <f>F150/E150*100</f>
        <v>0</v>
      </c>
      <c r="H150" s="257" t="s">
        <v>63</v>
      </c>
      <c r="I150" s="258"/>
      <c r="K150" s="228"/>
      <c r="L150" s="229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28"/>
      <c r="Z150" s="228"/>
      <c r="AA150" s="228"/>
      <c r="AB150" s="228"/>
      <c r="AC150" s="228"/>
      <c r="AD150" s="228"/>
      <c r="AE150" s="228"/>
      <c r="AF150" s="228"/>
      <c r="AG150" s="228"/>
      <c r="AH150" s="228"/>
      <c r="AI150" s="228"/>
      <c r="AJ150" s="228"/>
      <c r="AK150" s="228"/>
      <c r="AL150" s="228"/>
      <c r="AM150" s="228"/>
      <c r="AN150" s="228"/>
      <c r="AO150" s="228"/>
      <c r="AP150" s="228"/>
      <c r="AQ150" s="228"/>
      <c r="AR150" s="228"/>
      <c r="AS150" s="228"/>
      <c r="AT150" s="228"/>
      <c r="AU150" s="228"/>
      <c r="AV150" s="228"/>
      <c r="AW150" s="228"/>
      <c r="AX150" s="228"/>
      <c r="AY150" s="228"/>
      <c r="AZ150" s="228"/>
      <c r="BA150" s="228"/>
      <c r="BB150" s="228"/>
      <c r="BC150" s="228"/>
      <c r="BD150" s="228"/>
      <c r="BE150" s="228"/>
      <c r="BF150" s="228"/>
      <c r="BG150" s="228"/>
      <c r="BH150" s="228"/>
      <c r="BI150" s="228"/>
      <c r="BJ150" s="228"/>
      <c r="BK150" s="228"/>
      <c r="BL150" s="228"/>
      <c r="BM150" s="228"/>
      <c r="BN150" s="228"/>
    </row>
    <row r="151" spans="1:66" s="103" customFormat="1" ht="20.100000000000001" customHeight="1" x14ac:dyDescent="0.15">
      <c r="A151" s="145"/>
      <c r="B151" s="108"/>
      <c r="C151" s="151"/>
      <c r="D151" s="134"/>
      <c r="E151" s="134"/>
      <c r="F151" s="136">
        <f t="shared" ref="F151:F152" si="12">E151-D151</f>
        <v>0</v>
      </c>
      <c r="G151" s="192"/>
      <c r="H151" s="280" t="s">
        <v>119</v>
      </c>
      <c r="I151" s="264">
        <f>100000*2</f>
        <v>200000</v>
      </c>
      <c r="K151" s="228"/>
      <c r="L151" s="229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28"/>
      <c r="Z151" s="228"/>
      <c r="AA151" s="228"/>
      <c r="AB151" s="228"/>
      <c r="AC151" s="228"/>
      <c r="AD151" s="228"/>
      <c r="AE151" s="228"/>
      <c r="AF151" s="228"/>
      <c r="AG151" s="228"/>
      <c r="AH151" s="228"/>
      <c r="AI151" s="228"/>
      <c r="AJ151" s="228"/>
      <c r="AK151" s="228"/>
      <c r="AL151" s="228"/>
      <c r="AM151" s="228"/>
      <c r="AN151" s="228"/>
      <c r="AO151" s="228"/>
      <c r="AP151" s="228"/>
      <c r="AQ151" s="228"/>
      <c r="AR151" s="228"/>
      <c r="AS151" s="228"/>
      <c r="AT151" s="228"/>
      <c r="AU151" s="228"/>
      <c r="AV151" s="228"/>
      <c r="AW151" s="228"/>
      <c r="AX151" s="228"/>
      <c r="AY151" s="228"/>
      <c r="AZ151" s="228"/>
      <c r="BA151" s="228"/>
      <c r="BB151" s="228"/>
      <c r="BC151" s="228"/>
      <c r="BD151" s="228"/>
      <c r="BE151" s="228"/>
      <c r="BF151" s="228"/>
      <c r="BG151" s="228"/>
      <c r="BH151" s="228"/>
      <c r="BI151" s="228"/>
      <c r="BJ151" s="228"/>
      <c r="BK151" s="228"/>
      <c r="BL151" s="228"/>
      <c r="BM151" s="228"/>
      <c r="BN151" s="228"/>
    </row>
    <row r="152" spans="1:66" s="103" customFormat="1" ht="20.100000000000001" customHeight="1" x14ac:dyDescent="0.15">
      <c r="A152" s="235" t="s">
        <v>64</v>
      </c>
      <c r="B152" s="236"/>
      <c r="C152" s="152"/>
      <c r="D152" s="122">
        <v>384203</v>
      </c>
      <c r="E152" s="122">
        <f>E153</f>
        <v>80417</v>
      </c>
      <c r="F152" s="123">
        <f t="shared" si="12"/>
        <v>-303786</v>
      </c>
      <c r="G152" s="195">
        <f>F152/E152*100</f>
        <v>-377.7634082345773</v>
      </c>
      <c r="H152" s="284" t="s">
        <v>64</v>
      </c>
      <c r="I152" s="254"/>
      <c r="K152" s="228"/>
      <c r="L152" s="229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  <c r="W152" s="228"/>
      <c r="X152" s="228"/>
      <c r="Y152" s="228"/>
      <c r="Z152" s="228"/>
      <c r="AA152" s="228"/>
      <c r="AB152" s="228"/>
      <c r="AC152" s="228"/>
      <c r="AD152" s="228"/>
      <c r="AE152" s="228"/>
      <c r="AF152" s="228"/>
      <c r="AG152" s="228"/>
      <c r="AH152" s="228"/>
      <c r="AI152" s="228"/>
      <c r="AJ152" s="228"/>
      <c r="AK152" s="228"/>
      <c r="AL152" s="228"/>
      <c r="AM152" s="228"/>
      <c r="AN152" s="228"/>
      <c r="AO152" s="228"/>
      <c r="AP152" s="228"/>
      <c r="AQ152" s="228"/>
      <c r="AR152" s="228"/>
      <c r="AS152" s="228"/>
      <c r="AT152" s="228"/>
      <c r="AU152" s="228"/>
      <c r="AV152" s="228"/>
      <c r="AW152" s="228"/>
      <c r="AX152" s="228"/>
      <c r="AY152" s="228"/>
      <c r="AZ152" s="228"/>
      <c r="BA152" s="228"/>
      <c r="BB152" s="228"/>
      <c r="BC152" s="228"/>
      <c r="BD152" s="228"/>
      <c r="BE152" s="228"/>
      <c r="BF152" s="228"/>
      <c r="BG152" s="228"/>
      <c r="BH152" s="228"/>
      <c r="BI152" s="228"/>
      <c r="BJ152" s="228"/>
      <c r="BK152" s="228"/>
      <c r="BL152" s="228"/>
      <c r="BM152" s="228"/>
      <c r="BN152" s="228"/>
    </row>
    <row r="153" spans="1:66" s="103" customFormat="1" ht="20.100000000000001" customHeight="1" x14ac:dyDescent="0.15">
      <c r="A153" s="70"/>
      <c r="B153" s="153" t="s">
        <v>64</v>
      </c>
      <c r="C153" s="148"/>
      <c r="D153" s="124">
        <v>384203</v>
      </c>
      <c r="E153" s="124">
        <f>E154+E156</f>
        <v>80417</v>
      </c>
      <c r="F153" s="131">
        <f t="shared" si="0"/>
        <v>-303786</v>
      </c>
      <c r="G153" s="194">
        <f>F153/E153*100</f>
        <v>-377.7634082345773</v>
      </c>
      <c r="H153" s="284" t="s">
        <v>64</v>
      </c>
      <c r="I153" s="254"/>
      <c r="J153" s="88"/>
      <c r="K153" s="230"/>
      <c r="L153" s="229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28"/>
      <c r="Z153" s="228"/>
      <c r="AA153" s="228"/>
      <c r="AB153" s="228"/>
      <c r="AC153" s="228"/>
      <c r="AD153" s="228"/>
      <c r="AE153" s="228"/>
      <c r="AF153" s="228"/>
      <c r="AG153" s="228"/>
      <c r="AH153" s="228"/>
      <c r="AI153" s="228"/>
      <c r="AJ153" s="228"/>
      <c r="AK153" s="228"/>
      <c r="AL153" s="228"/>
      <c r="AM153" s="228"/>
      <c r="AN153" s="228"/>
      <c r="AO153" s="228"/>
      <c r="AP153" s="228"/>
      <c r="AQ153" s="228"/>
      <c r="AR153" s="228"/>
      <c r="AS153" s="228"/>
      <c r="AT153" s="228"/>
      <c r="AU153" s="228"/>
      <c r="AV153" s="228"/>
      <c r="AW153" s="228"/>
      <c r="AX153" s="228"/>
      <c r="AY153" s="228"/>
      <c r="AZ153" s="228"/>
      <c r="BA153" s="228"/>
      <c r="BB153" s="228"/>
      <c r="BC153" s="228"/>
      <c r="BD153" s="228"/>
      <c r="BE153" s="228"/>
      <c r="BF153" s="228"/>
      <c r="BG153" s="228"/>
      <c r="BH153" s="228"/>
      <c r="BI153" s="228"/>
      <c r="BJ153" s="228"/>
      <c r="BK153" s="228"/>
      <c r="BL153" s="228"/>
      <c r="BM153" s="228"/>
      <c r="BN153" s="228"/>
    </row>
    <row r="154" spans="1:66" s="103" customFormat="1" ht="20.100000000000001" customHeight="1" x14ac:dyDescent="0.15">
      <c r="A154" s="112"/>
      <c r="B154" s="81"/>
      <c r="C154" s="150" t="s">
        <v>65</v>
      </c>
      <c r="D154" s="127">
        <v>364203</v>
      </c>
      <c r="E154" s="127">
        <f>I155</f>
        <v>60417</v>
      </c>
      <c r="F154" s="131">
        <f>E154-D154</f>
        <v>-303786</v>
      </c>
      <c r="G154" s="164">
        <f>F154/E154*100</f>
        <v>-502.81543274244001</v>
      </c>
      <c r="H154" s="282" t="s">
        <v>65</v>
      </c>
      <c r="I154" s="258"/>
      <c r="K154" s="228"/>
      <c r="L154" s="229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  <c r="AB154" s="228"/>
      <c r="AC154" s="228"/>
      <c r="AD154" s="228"/>
      <c r="AE154" s="228"/>
      <c r="AF154" s="228"/>
      <c r="AG154" s="228"/>
      <c r="AH154" s="228"/>
      <c r="AI154" s="228"/>
      <c r="AJ154" s="228"/>
      <c r="AK154" s="228"/>
      <c r="AL154" s="228"/>
      <c r="AM154" s="228"/>
      <c r="AN154" s="228"/>
      <c r="AO154" s="228"/>
      <c r="AP154" s="228"/>
      <c r="AQ154" s="228"/>
      <c r="AR154" s="228"/>
      <c r="AS154" s="228"/>
      <c r="AT154" s="228"/>
      <c r="AU154" s="228"/>
      <c r="AV154" s="228"/>
      <c r="AW154" s="228"/>
      <c r="AX154" s="228"/>
      <c r="AY154" s="228"/>
      <c r="AZ154" s="228"/>
      <c r="BA154" s="228"/>
      <c r="BB154" s="228"/>
      <c r="BC154" s="228"/>
      <c r="BD154" s="228"/>
      <c r="BE154" s="228"/>
      <c r="BF154" s="228"/>
      <c r="BG154" s="228"/>
      <c r="BH154" s="228"/>
      <c r="BI154" s="228"/>
      <c r="BJ154" s="228"/>
      <c r="BK154" s="228"/>
      <c r="BL154" s="228"/>
      <c r="BM154" s="228"/>
      <c r="BN154" s="228"/>
    </row>
    <row r="155" spans="1:66" s="144" customFormat="1" ht="20.100000000000001" customHeight="1" x14ac:dyDescent="0.15">
      <c r="A155" s="80"/>
      <c r="B155" s="109"/>
      <c r="C155" s="151"/>
      <c r="D155" s="134"/>
      <c r="E155" s="134"/>
      <c r="F155" s="133"/>
      <c r="G155" s="163"/>
      <c r="H155" s="291" t="s">
        <v>259</v>
      </c>
      <c r="I155" s="264">
        <v>60417</v>
      </c>
      <c r="J155" s="230"/>
      <c r="K155" s="299"/>
      <c r="L155" s="229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8"/>
      <c r="AA155" s="228"/>
      <c r="AB155" s="228"/>
      <c r="AC155" s="228"/>
      <c r="AD155" s="228"/>
      <c r="AE155" s="228"/>
      <c r="AF155" s="228"/>
      <c r="AG155" s="228"/>
      <c r="AH155" s="228"/>
      <c r="AI155" s="228"/>
      <c r="AJ155" s="228"/>
      <c r="AK155" s="228"/>
      <c r="AL155" s="228"/>
      <c r="AM155" s="228"/>
      <c r="AN155" s="228"/>
      <c r="AO155" s="228"/>
      <c r="AP155" s="228"/>
      <c r="AQ155" s="228"/>
      <c r="AR155" s="228"/>
      <c r="AS155" s="228"/>
      <c r="AT155" s="228"/>
      <c r="AU155" s="228"/>
      <c r="AV155" s="228"/>
      <c r="AW155" s="228"/>
      <c r="AX155" s="228"/>
      <c r="AY155" s="228"/>
      <c r="AZ155" s="228"/>
      <c r="BA155" s="228"/>
      <c r="BB155" s="228"/>
      <c r="BC155" s="228"/>
      <c r="BD155" s="228"/>
      <c r="BE155" s="228"/>
      <c r="BF155" s="228"/>
      <c r="BG155" s="228"/>
      <c r="BH155" s="228"/>
      <c r="BI155" s="228"/>
      <c r="BJ155" s="228"/>
      <c r="BK155" s="228"/>
      <c r="BL155" s="228"/>
      <c r="BM155" s="228"/>
      <c r="BN155" s="228"/>
    </row>
    <row r="156" spans="1:66" ht="20.100000000000001" customHeight="1" x14ac:dyDescent="0.15">
      <c r="A156" s="80"/>
      <c r="B156" s="109"/>
      <c r="C156" s="154" t="s">
        <v>113</v>
      </c>
      <c r="D156" s="126">
        <v>20000</v>
      </c>
      <c r="E156" s="126">
        <f>I157</f>
        <v>20000</v>
      </c>
      <c r="F156" s="131">
        <f t="shared" si="0"/>
        <v>0</v>
      </c>
      <c r="G156" s="166">
        <f>F156/E156*100</f>
        <v>0</v>
      </c>
      <c r="H156" s="285" t="s">
        <v>113</v>
      </c>
      <c r="I156" s="258"/>
      <c r="J156" s="231"/>
    </row>
    <row r="157" spans="1:66" ht="20.100000000000001" customHeight="1" x14ac:dyDescent="0.15">
      <c r="A157" s="155"/>
      <c r="B157" s="117"/>
      <c r="C157" s="156"/>
      <c r="D157" s="129"/>
      <c r="E157" s="129"/>
      <c r="F157" s="135"/>
      <c r="G157" s="191"/>
      <c r="H157" s="275" t="s">
        <v>135</v>
      </c>
      <c r="I157" s="261">
        <f>20000*1</f>
        <v>20000</v>
      </c>
    </row>
    <row r="158" spans="1:66" x14ac:dyDescent="0.15">
      <c r="A158" s="103"/>
      <c r="B158" s="103"/>
      <c r="C158" s="103"/>
      <c r="D158" s="64"/>
      <c r="E158" s="120"/>
      <c r="F158" s="244"/>
      <c r="G158" s="245"/>
    </row>
    <row r="159" spans="1:66" x14ac:dyDescent="0.15">
      <c r="A159" s="103"/>
      <c r="B159" s="103"/>
      <c r="C159" s="103"/>
      <c r="D159" s="64"/>
      <c r="E159" s="120"/>
      <c r="F159" s="244"/>
      <c r="G159" s="245"/>
    </row>
    <row r="160" spans="1:66" x14ac:dyDescent="0.15">
      <c r="A160" s="103"/>
      <c r="B160" s="103"/>
      <c r="C160" s="103"/>
      <c r="D160" s="64"/>
      <c r="E160" s="120"/>
      <c r="F160" s="244"/>
      <c r="G160" s="245"/>
    </row>
    <row r="161" spans="1:7" x14ac:dyDescent="0.15">
      <c r="A161" s="103"/>
      <c r="B161" s="103"/>
      <c r="C161" s="103"/>
      <c r="D161" s="64"/>
      <c r="E161" s="120"/>
      <c r="F161" s="244"/>
      <c r="G161" s="245"/>
    </row>
    <row r="162" spans="1:7" x14ac:dyDescent="0.15">
      <c r="A162" s="103"/>
      <c r="B162" s="103"/>
      <c r="C162" s="103"/>
      <c r="D162" s="64"/>
      <c r="E162" s="120"/>
      <c r="F162" s="244"/>
      <c r="G162" s="245"/>
    </row>
    <row r="163" spans="1:7" x14ac:dyDescent="0.15">
      <c r="D163" s="64"/>
    </row>
    <row r="164" spans="1:7" x14ac:dyDescent="0.15">
      <c r="D164" s="64"/>
    </row>
  </sheetData>
  <customSheetViews>
    <customSheetView guid="{29BE6789-D580-482F-AE13-9E62D887C1AB}" showPageBreaks="1" printArea="1" view="pageBreakPreview" topLeftCell="A126">
      <selection activeCell="E140" sqref="E140"/>
      <rowBreaks count="5" manualBreakCount="5">
        <brk id="25" max="8" man="1"/>
        <brk id="49" max="8" man="1"/>
        <brk id="72" max="8" man="1"/>
        <brk id="95" max="8" man="1"/>
        <brk id="118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74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15">
    <mergeCell ref="A1:H1"/>
    <mergeCell ref="C136:C137"/>
    <mergeCell ref="F4:G4"/>
    <mergeCell ref="H4:I5"/>
    <mergeCell ref="A6:C6"/>
    <mergeCell ref="H3:I3"/>
    <mergeCell ref="A86:A87"/>
    <mergeCell ref="A3:C3"/>
    <mergeCell ref="A4:C4"/>
    <mergeCell ref="D4:D5"/>
    <mergeCell ref="E4:E5"/>
    <mergeCell ref="C110:C111"/>
    <mergeCell ref="C117:C118"/>
    <mergeCell ref="C123:C124"/>
    <mergeCell ref="C119:C120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77" firstPageNumber="3" fitToWidth="0" fitToHeight="0" orientation="landscape" useFirstPageNumber="1" horizontalDpi="4294967294" r:id="rId2"/>
  <headerFooter alignWithMargins="0">
    <oddFooter xml:space="preserve">&amp;R참좋은기억학교(2024. 09. 06.)
</oddFooter>
  </headerFooter>
  <rowBreaks count="6" manualBreakCount="6">
    <brk id="26" max="8" man="1"/>
    <brk id="48" max="8" man="1"/>
    <brk id="71" max="8" man="1"/>
    <brk id="97" max="8" man="1"/>
    <brk id="122" max="8" man="1"/>
    <brk id="146" max="8" man="1"/>
  </rowBreaks>
  <ignoredErrors>
    <ignoredError sqref="D23:D26 D146 D10:D16 D18:D21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view="pageBreakPreview" zoomScaleNormal="100" zoomScaleSheetLayoutView="100" workbookViewId="0"/>
  </sheetViews>
  <sheetFormatPr defaultRowHeight="13.5" x14ac:dyDescent="0.15"/>
  <cols>
    <col min="1" max="1" width="13.44140625" style="43" customWidth="1"/>
    <col min="2" max="2" width="15.6640625" style="44" customWidth="1"/>
    <col min="3" max="3" width="12.88671875" style="60" customWidth="1"/>
    <col min="4" max="4" width="12.77734375" style="56" customWidth="1"/>
    <col min="5" max="5" width="12.88671875" style="211" customWidth="1"/>
    <col min="6" max="6" width="10.44140625" style="43" bestFit="1" customWidth="1"/>
    <col min="7" max="7" width="12.44140625" style="43" bestFit="1" customWidth="1"/>
    <col min="8" max="8" width="9.44140625" style="43" customWidth="1"/>
    <col min="9" max="16384" width="8.88671875" style="43"/>
  </cols>
  <sheetData>
    <row r="1" spans="1:8" ht="46.5" customHeight="1" x14ac:dyDescent="0.15">
      <c r="A1" s="306" t="s">
        <v>231</v>
      </c>
      <c r="B1" s="295"/>
      <c r="C1" s="295"/>
      <c r="D1" s="295"/>
      <c r="E1" s="296"/>
    </row>
    <row r="2" spans="1:8" s="46" customFormat="1" ht="23.1" customHeight="1" x14ac:dyDescent="0.15">
      <c r="A2" s="293" t="s">
        <v>114</v>
      </c>
      <c r="B2" s="213"/>
      <c r="C2" s="214"/>
      <c r="D2" s="215"/>
      <c r="E2" s="202"/>
    </row>
    <row r="3" spans="1:8" s="46" customFormat="1" ht="23.1" customHeight="1" x14ac:dyDescent="0.15">
      <c r="A3" s="294" t="s">
        <v>115</v>
      </c>
      <c r="B3" s="54"/>
      <c r="C3" s="199"/>
      <c r="D3" s="55"/>
      <c r="E3" s="203" t="s">
        <v>116</v>
      </c>
    </row>
    <row r="4" spans="1:8" s="46" customFormat="1" ht="23.1" customHeight="1" thickBot="1" x14ac:dyDescent="0.2">
      <c r="A4" s="307" t="s">
        <v>3</v>
      </c>
      <c r="B4" s="58" t="s">
        <v>17</v>
      </c>
      <c r="C4" s="200" t="str">
        <f>예산총괄!C4</f>
        <v>2024년 1차 추경
(A)</v>
      </c>
      <c r="D4" s="59" t="str">
        <f>예산총괄!D4</f>
        <v>2024년 2차 추경
(B)</v>
      </c>
      <c r="E4" s="204" t="s">
        <v>88</v>
      </c>
    </row>
    <row r="5" spans="1:8" s="46" customFormat="1" ht="20.100000000000001" customHeight="1" thickTop="1" x14ac:dyDescent="0.15">
      <c r="A5" s="368"/>
      <c r="B5" s="369"/>
      <c r="C5" s="196">
        <f>'예산내역-세입'!D6</f>
        <v>499800000</v>
      </c>
      <c r="D5" s="196">
        <f>'예산내역-세입'!E6</f>
        <v>501300000</v>
      </c>
      <c r="E5" s="205">
        <f>D5-C5</f>
        <v>1500000</v>
      </c>
      <c r="F5" s="47"/>
      <c r="G5" s="157"/>
    </row>
    <row r="6" spans="1:8" s="46" customFormat="1" ht="20.100000000000001" customHeight="1" x14ac:dyDescent="0.15">
      <c r="A6" s="308" t="s">
        <v>233</v>
      </c>
      <c r="B6" s="45" t="str">
        <f>'예산내역-세입'!C9</f>
        <v>입소비용수입</v>
      </c>
      <c r="C6" s="76">
        <f>'예산내역-세입'!D9</f>
        <v>67925000</v>
      </c>
      <c r="D6" s="76">
        <f>'예산내역-세입'!E9</f>
        <v>69160000</v>
      </c>
      <c r="E6" s="206">
        <f>D6-C6</f>
        <v>1235000</v>
      </c>
      <c r="F6" s="47"/>
      <c r="G6" s="47"/>
    </row>
    <row r="7" spans="1:8" s="46" customFormat="1" ht="20.100000000000001" customHeight="1" x14ac:dyDescent="0.15">
      <c r="A7" s="309"/>
      <c r="B7" s="53"/>
      <c r="C7" s="370" t="s">
        <v>219</v>
      </c>
      <c r="D7" s="371"/>
      <c r="E7" s="372"/>
    </row>
    <row r="8" spans="1:8" s="46" customFormat="1" ht="20.100000000000001" customHeight="1" x14ac:dyDescent="0.15">
      <c r="A8" s="308" t="s">
        <v>21</v>
      </c>
      <c r="B8" s="45" t="str">
        <f>'예산내역-세입'!C31</f>
        <v>기타잡수입</v>
      </c>
      <c r="C8" s="76">
        <f>'예산내역-세입'!D31</f>
        <v>7854002</v>
      </c>
      <c r="D8" s="76">
        <f>'예산내역-세입'!E31</f>
        <v>8119002</v>
      </c>
      <c r="E8" s="207">
        <f>D8-C8</f>
        <v>265000</v>
      </c>
    </row>
    <row r="9" spans="1:8" s="46" customFormat="1" ht="20.100000000000001" customHeight="1" x14ac:dyDescent="0.15">
      <c r="A9" s="310"/>
      <c r="B9" s="216"/>
      <c r="C9" s="217" t="s">
        <v>263</v>
      </c>
      <c r="D9" s="298"/>
      <c r="E9" s="218"/>
    </row>
    <row r="10" spans="1:8" s="46" customFormat="1" ht="23.1" customHeight="1" x14ac:dyDescent="0.15">
      <c r="A10" s="61"/>
      <c r="B10" s="311"/>
      <c r="C10" s="312"/>
      <c r="D10" s="313"/>
      <c r="E10" s="208"/>
    </row>
    <row r="11" spans="1:8" s="46" customFormat="1" ht="20.100000000000001" customHeight="1" x14ac:dyDescent="0.15">
      <c r="A11" s="294" t="s">
        <v>117</v>
      </c>
      <c r="B11" s="311"/>
      <c r="C11" s="312"/>
      <c r="D11" s="313"/>
      <c r="E11" s="208" t="s">
        <v>116</v>
      </c>
      <c r="F11" s="47"/>
      <c r="G11" s="47"/>
    </row>
    <row r="12" spans="1:8" s="46" customFormat="1" ht="23.1" customHeight="1" thickBot="1" x14ac:dyDescent="0.2">
      <c r="A12" s="307" t="s">
        <v>3</v>
      </c>
      <c r="B12" s="58" t="s">
        <v>17</v>
      </c>
      <c r="C12" s="200" t="str">
        <f>예산총괄!C4</f>
        <v>2024년 1차 추경
(A)</v>
      </c>
      <c r="D12" s="59" t="str">
        <f>예산총괄!D4</f>
        <v>2024년 2차 추경
(B)</v>
      </c>
      <c r="E12" s="204" t="s">
        <v>88</v>
      </c>
      <c r="H12" s="47"/>
    </row>
    <row r="13" spans="1:8" s="46" customFormat="1" ht="20.100000000000001" customHeight="1" thickTop="1" x14ac:dyDescent="0.15">
      <c r="A13" s="368"/>
      <c r="B13" s="369"/>
      <c r="C13" s="197">
        <f>'예산내역-세출'!D6</f>
        <v>499800000.04532349</v>
      </c>
      <c r="D13" s="197">
        <f>'예산내역-세출'!E6</f>
        <v>501299999.85474932</v>
      </c>
      <c r="E13" s="205">
        <f>D13-C13</f>
        <v>1499999.8094258308</v>
      </c>
      <c r="G13" s="47"/>
    </row>
    <row r="14" spans="1:8" s="46" customFormat="1" ht="20.100000000000001" customHeight="1" x14ac:dyDescent="0.15">
      <c r="A14" s="308" t="str">
        <f>'예산내역-세출'!B8</f>
        <v>인건비</v>
      </c>
      <c r="B14" s="51" t="str">
        <f>'예산내역-세출'!C9</f>
        <v>급여</v>
      </c>
      <c r="C14" s="201">
        <f>'예산내역-세출'!D9</f>
        <v>274566400</v>
      </c>
      <c r="D14" s="63">
        <f>'예산내역-세출'!E9</f>
        <v>275209100</v>
      </c>
      <c r="E14" s="209">
        <f>'예산내역-세출'!F9</f>
        <v>642700</v>
      </c>
      <c r="F14" s="250"/>
    </row>
    <row r="15" spans="1:8" s="46" customFormat="1" ht="20.100000000000001" customHeight="1" x14ac:dyDescent="0.15">
      <c r="A15" s="314"/>
      <c r="B15" s="52"/>
      <c r="C15" s="376" t="s">
        <v>260</v>
      </c>
      <c r="D15" s="377"/>
      <c r="E15" s="378"/>
    </row>
    <row r="16" spans="1:8" s="46" customFormat="1" ht="20.100000000000001" customHeight="1" x14ac:dyDescent="0.15">
      <c r="A16" s="315" t="str">
        <f>'예산내역-세출'!B8</f>
        <v>인건비</v>
      </c>
      <c r="B16" s="51" t="str">
        <f>'예산내역-세출'!C36</f>
        <v>퇴직금 및 퇴직적립금</v>
      </c>
      <c r="C16" s="69">
        <f>'예산내역-세출'!D36</f>
        <v>26438895</v>
      </c>
      <c r="D16" s="69">
        <f>'예산내역-세출'!E36</f>
        <v>27232406.833333332</v>
      </c>
      <c r="E16" s="209">
        <f>'예산내역-세출'!F36</f>
        <v>793511.83333333209</v>
      </c>
      <c r="F16" s="47"/>
      <c r="G16" s="47"/>
    </row>
    <row r="17" spans="1:7" s="46" customFormat="1" ht="20.100000000000001" customHeight="1" x14ac:dyDescent="0.15">
      <c r="A17" s="61"/>
      <c r="B17" s="71"/>
      <c r="C17" s="376" t="s">
        <v>260</v>
      </c>
      <c r="D17" s="377"/>
      <c r="E17" s="378"/>
      <c r="F17" s="47"/>
      <c r="G17" s="47"/>
    </row>
    <row r="18" spans="1:7" s="46" customFormat="1" ht="20.100000000000001" customHeight="1" x14ac:dyDescent="0.15">
      <c r="A18" s="315" t="str">
        <f>'예산내역-세출'!B8</f>
        <v>인건비</v>
      </c>
      <c r="B18" s="51" t="str">
        <f>'예산내역-세출'!C38</f>
        <v>사회보험부담금</v>
      </c>
      <c r="C18" s="69">
        <f>'예산내역-세출'!D38</f>
        <v>32280536.045323499</v>
      </c>
      <c r="D18" s="69">
        <f>'예산내역-세출'!E38</f>
        <v>32348110.021415997</v>
      </c>
      <c r="E18" s="209">
        <f>'예산내역-세출'!F38</f>
        <v>67573.976092498749</v>
      </c>
    </row>
    <row r="19" spans="1:7" s="46" customFormat="1" ht="20.100000000000001" customHeight="1" x14ac:dyDescent="0.15">
      <c r="A19" s="61"/>
      <c r="B19" s="71"/>
      <c r="C19" s="376" t="s">
        <v>260</v>
      </c>
      <c r="D19" s="377"/>
      <c r="E19" s="378"/>
    </row>
    <row r="20" spans="1:7" s="46" customFormat="1" ht="20.100000000000001" customHeight="1" x14ac:dyDescent="0.15">
      <c r="A20" s="315" t="s">
        <v>256</v>
      </c>
      <c r="B20" s="198" t="s">
        <v>257</v>
      </c>
      <c r="C20" s="69">
        <v>0</v>
      </c>
      <c r="D20" s="69">
        <v>300000</v>
      </c>
      <c r="E20" s="219">
        <v>300000</v>
      </c>
    </row>
    <row r="21" spans="1:7" s="46" customFormat="1" ht="20.100000000000001" customHeight="1" x14ac:dyDescent="0.15">
      <c r="A21" s="316"/>
      <c r="B21" s="71"/>
      <c r="C21" s="376" t="s">
        <v>262</v>
      </c>
      <c r="D21" s="377"/>
      <c r="E21" s="378"/>
    </row>
    <row r="22" spans="1:7" s="46" customFormat="1" ht="20.100000000000001" customHeight="1" x14ac:dyDescent="0.15">
      <c r="A22" s="317" t="str">
        <f>'예산내역-세출'!B153</f>
        <v>예비비 및 기타</v>
      </c>
      <c r="B22" s="52" t="str">
        <f>'예산내역-세출'!C154</f>
        <v>예비비</v>
      </c>
      <c r="C22" s="79">
        <f>'예산내역-세출'!D154</f>
        <v>364203</v>
      </c>
      <c r="D22" s="79">
        <f>'예산내역-세출'!E154</f>
        <v>60417</v>
      </c>
      <c r="E22" s="212">
        <f>'예산내역-세출'!F154</f>
        <v>-303786</v>
      </c>
    </row>
    <row r="23" spans="1:7" s="46" customFormat="1" ht="20.100000000000001" customHeight="1" x14ac:dyDescent="0.15">
      <c r="A23" s="318"/>
      <c r="B23" s="72"/>
      <c r="C23" s="373" t="s">
        <v>258</v>
      </c>
      <c r="D23" s="374"/>
      <c r="E23" s="375"/>
    </row>
    <row r="24" spans="1:7" x14ac:dyDescent="0.15">
      <c r="A24" s="44"/>
      <c r="C24" s="57"/>
      <c r="D24" s="47"/>
      <c r="E24" s="210"/>
    </row>
  </sheetData>
  <customSheetViews>
    <customSheetView guid="{29BE6789-D580-482F-AE13-9E62D887C1AB}" showPageBreaks="1" printArea="1" view="pageBreakPreview" topLeftCell="A16">
      <selection activeCell="D13" sqref="D13:F13"/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10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8">
    <mergeCell ref="A5:B5"/>
    <mergeCell ref="A13:B13"/>
    <mergeCell ref="C7:E7"/>
    <mergeCell ref="C23:E23"/>
    <mergeCell ref="C15:E15"/>
    <mergeCell ref="C17:E17"/>
    <mergeCell ref="C19:E19"/>
    <mergeCell ref="C21:E21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81" firstPageNumber="10" fitToHeight="2" orientation="portrait" useFirstPageNumber="1" r:id="rId2"/>
  <headerFooter alignWithMargins="0">
    <oddFooter xml:space="preserve">&amp;R참좋은기억학교(2024. 09. 06.)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9</vt:i4>
      </vt:variant>
    </vt:vector>
  </HeadingPairs>
  <TitlesOfParts>
    <vt:vector size="15" baseType="lpstr">
      <vt:lpstr>표지</vt:lpstr>
      <vt:lpstr>예산총칙</vt:lpstr>
      <vt:lpstr>예산총괄</vt:lpstr>
      <vt:lpstr>예산내역-세입</vt:lpstr>
      <vt:lpstr>예산내역-세출</vt:lpstr>
      <vt:lpstr>예산 변경사유서</vt:lpstr>
      <vt:lpstr>'예산 변경사유서'!Print_Area</vt:lpstr>
      <vt:lpstr>'예산내역-세입'!Print_Area</vt:lpstr>
      <vt:lpstr>'예산내역-세출'!Print_Area</vt:lpstr>
      <vt:lpstr>예산총괄!Print_Area</vt:lpstr>
      <vt:lpstr>예산총칙!Print_Area</vt:lpstr>
      <vt:lpstr>표지!Print_Area</vt:lpstr>
      <vt:lpstr>'예산 변경사유서'!Print_Titles</vt:lpstr>
      <vt:lpstr>'예산내역-세입'!Print_Titles</vt:lpstr>
      <vt:lpstr>'예산내역-세출'!Print_Titles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Administrator</cp:lastModifiedBy>
  <cp:lastPrinted>2024-09-02T01:49:05Z</cp:lastPrinted>
  <dcterms:created xsi:type="dcterms:W3CDTF">2016-12-07T07:13:09Z</dcterms:created>
  <dcterms:modified xsi:type="dcterms:W3CDTF">2024-09-05T08:51:41Z</dcterms:modified>
</cp:coreProperties>
</file>