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준호\법인관련서류\이사회관련-국장님\2023년\자료취합\4차 정기이사회\"/>
    </mc:Choice>
  </mc:AlternateContent>
  <bookViews>
    <workbookView xWindow="-120" yWindow="-120" windowWidth="29040" windowHeight="15840" activeTab="5"/>
  </bookViews>
  <sheets>
    <sheet name="표지" sheetId="5" r:id="rId1"/>
    <sheet name="예산총칙" sheetId="1" r:id="rId2"/>
    <sheet name="최초예산총괄" sheetId="2" r:id="rId3"/>
    <sheet name="최초예산내역-세입" sheetId="8" r:id="rId4"/>
    <sheet name="최초예산내역-세출" sheetId="7" r:id="rId5"/>
    <sheet name="최초예산 변경사유서" sheetId="6" r:id="rId6"/>
  </sheets>
  <definedNames>
    <definedName name="_xlnm.Print_Area" localSheetId="1">예산총칙!$A$1:$B$18</definedName>
    <definedName name="_xlnm.Print_Area" localSheetId="5">'최초예산 변경사유서'!$A$1:$F$57</definedName>
    <definedName name="_xlnm.Print_Area" localSheetId="3">'최초예산내역-세입'!$A$1:$I$40</definedName>
    <definedName name="_xlnm.Print_Area" localSheetId="4">'최초예산내역-세출'!$A$1:$I$154</definedName>
    <definedName name="_xlnm.Print_Area" localSheetId="2">최초예산총괄!$A$1:$E$24</definedName>
    <definedName name="_xlnm.Print_Area" localSheetId="0">표지!$A$1:$A$12</definedName>
    <definedName name="_xlnm.Print_Titles" localSheetId="5">'최초예산 변경사유서'!$1:$1</definedName>
    <definedName name="_xlnm.Print_Titles" localSheetId="3">'최초예산내역-세입'!$3:$5</definedName>
    <definedName name="_xlnm.Print_Titles" localSheetId="4">'최초예산내역-세출'!$3:$5</definedName>
    <definedName name="Z_29BE6789_D580_482F_AE13_9E62D887C1AB_.wvu.PrintArea" localSheetId="5" hidden="1">'최초예산 변경사유서'!$A$1:$F$21</definedName>
    <definedName name="Z_29BE6789_D580_482F_AE13_9E62D887C1AB_.wvu.PrintArea" localSheetId="3" hidden="1">'최초예산내역-세입'!$A$1:$I$40</definedName>
    <definedName name="Z_29BE6789_D580_482F_AE13_9E62D887C1AB_.wvu.PrintArea" localSheetId="4" hidden="1">'최초예산내역-세출'!$A$1:$I$154</definedName>
    <definedName name="Z_29BE6789_D580_482F_AE13_9E62D887C1AB_.wvu.PrintArea" localSheetId="2" hidden="1">최초예산총괄!$A$1:$E$24</definedName>
    <definedName name="Z_29BE6789_D580_482F_AE13_9E62D887C1AB_.wvu.PrintArea" localSheetId="0" hidden="1">표지!$A$1:$A$12</definedName>
    <definedName name="Z_29BE6789_D580_482F_AE13_9E62D887C1AB_.wvu.PrintTitles" localSheetId="5" hidden="1">'최초예산 변경사유서'!$15:$18</definedName>
    <definedName name="Z_29BE6789_D580_482F_AE13_9E62D887C1AB_.wvu.PrintTitles" localSheetId="3" hidden="1">'최초예산내역-세입'!$3:$5</definedName>
    <definedName name="Z_29BE6789_D580_482F_AE13_9E62D887C1AB_.wvu.PrintTitles" localSheetId="4" hidden="1">'최초예산내역-세출'!$3:$5</definedName>
  </definedNames>
  <calcPr calcId="162913"/>
  <customWorkbookViews>
    <customWorkbookView name="PC - 사용자 보기" guid="{29BE6789-D580-482F-AE13-9E62D887C1AB}" mergeInterval="0" personalView="1" maximized="1" windowWidth="1596" windowHeight="607" activeSheetId="7"/>
  </customWorkbookViews>
</workbook>
</file>

<file path=xl/calcChain.xml><?xml version="1.0" encoding="utf-8"?>
<calcChain xmlns="http://schemas.openxmlformats.org/spreadsheetml/2006/main">
  <c r="I26" i="8" l="1"/>
  <c r="I62" i="7" l="1"/>
  <c r="F32" i="6"/>
  <c r="D12" i="6"/>
  <c r="C12" i="6"/>
  <c r="B12" i="6"/>
  <c r="A12" i="6"/>
  <c r="I16" i="8"/>
  <c r="E48" i="7"/>
  <c r="E25" i="8"/>
  <c r="F25" i="8" s="1"/>
  <c r="G25" i="8" s="1"/>
  <c r="E24" i="8"/>
  <c r="E23" i="8"/>
  <c r="E12" i="6" l="1"/>
  <c r="F12" i="6"/>
  <c r="F34" i="6"/>
  <c r="E34" i="6"/>
  <c r="D34" i="6"/>
  <c r="C34" i="6"/>
  <c r="I54" i="7"/>
  <c r="G53" i="7"/>
  <c r="E53" i="7"/>
  <c r="F53" i="7"/>
  <c r="E26" i="7"/>
  <c r="I39" i="7"/>
  <c r="I38" i="7"/>
  <c r="I36" i="7"/>
  <c r="I34" i="7"/>
  <c r="E20" i="8" l="1"/>
  <c r="F20" i="8" s="1"/>
  <c r="D44" i="6" l="1"/>
  <c r="C44" i="6"/>
  <c r="D46" i="6"/>
  <c r="D48" i="6" l="1"/>
  <c r="B52" i="6"/>
  <c r="D52" i="6"/>
  <c r="C52" i="6"/>
  <c r="B54" i="6"/>
  <c r="D54" i="6"/>
  <c r="C54" i="6"/>
  <c r="D40" i="6"/>
  <c r="C40" i="6"/>
  <c r="I75" i="7"/>
  <c r="I112" i="7"/>
  <c r="D38" i="6"/>
  <c r="C38" i="6"/>
  <c r="B38" i="6"/>
  <c r="A38" i="6"/>
  <c r="D32" i="6"/>
  <c r="C32" i="6"/>
  <c r="B32" i="6"/>
  <c r="B34" i="6" s="1"/>
  <c r="A32" i="6"/>
  <c r="A34" i="6" s="1"/>
  <c r="D30" i="6"/>
  <c r="C30" i="6"/>
  <c r="A30" i="6"/>
  <c r="I38" i="8"/>
  <c r="I91" i="7"/>
  <c r="I90" i="7"/>
  <c r="I52" i="7"/>
  <c r="I131" i="7"/>
  <c r="I51" i="7"/>
  <c r="I42" i="7"/>
  <c r="I41" i="7"/>
  <c r="I32" i="7"/>
  <c r="I21" i="7" l="1"/>
  <c r="I20" i="7"/>
  <c r="I19" i="7"/>
  <c r="I18" i="7"/>
  <c r="D14" i="6" l="1"/>
  <c r="I10" i="8" l="1"/>
  <c r="I84" i="7" l="1"/>
  <c r="D16" i="6" l="1"/>
  <c r="C16" i="6"/>
  <c r="B16" i="6"/>
  <c r="A16" i="6"/>
  <c r="I30" i="8"/>
  <c r="I56" i="7" l="1"/>
  <c r="I132" i="7"/>
  <c r="I139" i="7" l="1"/>
  <c r="I130" i="7"/>
  <c r="E151" i="7" l="1"/>
  <c r="I59" i="7"/>
  <c r="I109" i="7"/>
  <c r="I74" i="7"/>
  <c r="I94" i="7"/>
  <c r="I33" i="8"/>
  <c r="I40" i="7"/>
  <c r="I30" i="7"/>
  <c r="I28" i="7"/>
  <c r="F26" i="7" s="1"/>
  <c r="I23" i="7"/>
  <c r="I25" i="7"/>
  <c r="I24" i="7"/>
  <c r="I22" i="7"/>
  <c r="I17" i="7"/>
  <c r="I16" i="7"/>
  <c r="I129" i="7"/>
  <c r="I46" i="7"/>
  <c r="I89" i="7"/>
  <c r="I14" i="7"/>
  <c r="I15" i="7"/>
  <c r="I13" i="7"/>
  <c r="I12" i="7"/>
  <c r="I11" i="7"/>
  <c r="I10" i="7"/>
  <c r="I9" i="7" l="1"/>
  <c r="I127" i="7" l="1"/>
  <c r="I137" i="7"/>
  <c r="I105" i="7"/>
  <c r="I99" i="7"/>
  <c r="I80" i="7"/>
  <c r="I50" i="7"/>
  <c r="E49" i="7" s="1"/>
  <c r="E32" i="6" s="1"/>
  <c r="I145" i="7"/>
  <c r="I128" i="7"/>
  <c r="I126" i="7"/>
  <c r="I125" i="7"/>
  <c r="I124" i="7"/>
  <c r="I123" i="7"/>
  <c r="I121" i="7"/>
  <c r="I120" i="7"/>
  <c r="I117" i="7"/>
  <c r="I116" i="7"/>
  <c r="I111" i="7"/>
  <c r="I110" i="7"/>
  <c r="I108" i="7"/>
  <c r="I107" i="7"/>
  <c r="I47" i="7"/>
  <c r="I40" i="8"/>
  <c r="I39" i="8"/>
  <c r="E20" i="6"/>
  <c r="D20" i="6"/>
  <c r="E4" i="6"/>
  <c r="D4" i="6"/>
  <c r="D4" i="7"/>
  <c r="E4" i="7"/>
  <c r="E4" i="8"/>
  <c r="D4" i="8"/>
  <c r="D15" i="2"/>
  <c r="C15" i="2"/>
  <c r="I61" i="7" l="1"/>
  <c r="I67" i="7"/>
  <c r="I118" i="7"/>
  <c r="I88" i="7"/>
  <c r="E87" i="7" s="1"/>
  <c r="E40" i="6" s="1"/>
  <c r="E115" i="7" l="1"/>
  <c r="F115" i="7" l="1"/>
  <c r="E48" i="6"/>
  <c r="I22" i="8"/>
  <c r="G115" i="7" l="1"/>
  <c r="F48" i="6"/>
  <c r="C11" i="2"/>
  <c r="C10" i="2"/>
  <c r="C8" i="2"/>
  <c r="C6" i="2"/>
  <c r="C9" i="2"/>
  <c r="C7" i="2" l="1"/>
  <c r="C5" i="2" s="1"/>
  <c r="D28" i="6"/>
  <c r="D56" i="6" l="1"/>
  <c r="C56" i="6"/>
  <c r="B56" i="6"/>
  <c r="A56" i="6"/>
  <c r="D5" i="6"/>
  <c r="C17" i="2" l="1"/>
  <c r="C18" i="2"/>
  <c r="C19" i="2"/>
  <c r="C20" i="2"/>
  <c r="C21" i="2"/>
  <c r="C22" i="2"/>
  <c r="C23" i="2"/>
  <c r="C24" i="2"/>
  <c r="C16" i="2" l="1"/>
  <c r="D50" i="6"/>
  <c r="C50" i="6"/>
  <c r="B50" i="6"/>
  <c r="B48" i="6" s="1"/>
  <c r="B46" i="6" s="1"/>
  <c r="B44" i="6" s="1"/>
  <c r="A50" i="6"/>
  <c r="A48" i="6" s="1"/>
  <c r="A46" i="6" s="1"/>
  <c r="A44" i="6" s="1"/>
  <c r="D42" i="6"/>
  <c r="C42" i="6"/>
  <c r="B42" i="6"/>
  <c r="A42" i="6"/>
  <c r="B40" i="6"/>
  <c r="A40" i="6"/>
  <c r="D36" i="6"/>
  <c r="C36" i="6"/>
  <c r="B36" i="6"/>
  <c r="A36" i="6"/>
  <c r="C28" i="6"/>
  <c r="A28" i="6"/>
  <c r="B28" i="6"/>
  <c r="B30" i="6" s="1"/>
  <c r="D26" i="6"/>
  <c r="C26" i="6"/>
  <c r="B26" i="6"/>
  <c r="A26" i="6"/>
  <c r="D24" i="6"/>
  <c r="C24" i="6"/>
  <c r="B24" i="6"/>
  <c r="A24" i="6"/>
  <c r="D22" i="6"/>
  <c r="C22" i="6"/>
  <c r="A22" i="6"/>
  <c r="B22" i="6"/>
  <c r="D10" i="6"/>
  <c r="E10" i="6"/>
  <c r="C10" i="6"/>
  <c r="E21" i="8"/>
  <c r="E19" i="8" s="1"/>
  <c r="B10" i="6"/>
  <c r="A10" i="6"/>
  <c r="C14" i="6"/>
  <c r="D8" i="6"/>
  <c r="C8" i="6"/>
  <c r="B8" i="6"/>
  <c r="A8" i="6"/>
  <c r="I83" i="7"/>
  <c r="F10" i="6" l="1"/>
  <c r="I82" i="7"/>
  <c r="E35" i="7" l="1"/>
  <c r="E26" i="6" s="1"/>
  <c r="I95" i="7" l="1"/>
  <c r="I93" i="7"/>
  <c r="I100" i="7"/>
  <c r="D6" i="6" l="1"/>
  <c r="C6" i="6"/>
  <c r="B6" i="6"/>
  <c r="A6" i="6"/>
  <c r="I68" i="7"/>
  <c r="I66" i="7" l="1"/>
  <c r="I122" i="7"/>
  <c r="E119" i="7" s="1"/>
  <c r="I154" i="7" l="1"/>
  <c r="E153" i="7" s="1"/>
  <c r="E150" i="7" s="1"/>
  <c r="E149" i="7" s="1"/>
  <c r="I32" i="8"/>
  <c r="E7" i="8" l="1"/>
  <c r="E9" i="8" l="1"/>
  <c r="E6" i="6" s="1"/>
  <c r="F6" i="6" s="1"/>
  <c r="E24" i="6" l="1"/>
  <c r="E37" i="8" l="1"/>
  <c r="E16" i="6" s="1"/>
  <c r="I71" i="7" l="1"/>
  <c r="I63" i="7"/>
  <c r="I146" i="7"/>
  <c r="E144" i="7" s="1"/>
  <c r="E37" i="7"/>
  <c r="E28" i="6" s="1"/>
  <c r="D6" i="2" l="1"/>
  <c r="F148" i="7"/>
  <c r="I77" i="7" l="1"/>
  <c r="I76" i="7"/>
  <c r="E55" i="7" l="1"/>
  <c r="I142" i="7" l="1"/>
  <c r="I143" i="7"/>
  <c r="I17" i="8" l="1"/>
  <c r="E15" i="8" l="1"/>
  <c r="E8" i="6" s="1"/>
  <c r="E136" i="7" l="1"/>
  <c r="E52" i="6" s="1"/>
  <c r="E106" i="7"/>
  <c r="E46" i="6" s="1"/>
  <c r="I102" i="7"/>
  <c r="I114" i="7" l="1"/>
  <c r="E98" i="7"/>
  <c r="E42" i="6" s="1"/>
  <c r="E12" i="8"/>
  <c r="E18" i="8" l="1"/>
  <c r="D8" i="2" s="1"/>
  <c r="D21" i="6" l="1"/>
  <c r="I140" i="7" l="1"/>
  <c r="I79" i="7" l="1"/>
  <c r="D9" i="2"/>
  <c r="E31" i="8" l="1"/>
  <c r="E14" i="6" s="1"/>
  <c r="F14" i="6" s="1"/>
  <c r="I141" i="7" l="1"/>
  <c r="E138" i="7" s="1"/>
  <c r="E54" i="6" s="1"/>
  <c r="F37" i="7" l="1"/>
  <c r="I45" i="7"/>
  <c r="I44" i="7"/>
  <c r="I65" i="7"/>
  <c r="I64" i="7"/>
  <c r="I70" i="7"/>
  <c r="I73" i="7"/>
  <c r="E92" i="7"/>
  <c r="I148" i="7"/>
  <c r="E147" i="7" s="1"/>
  <c r="E43" i="7" l="1"/>
  <c r="E30" i="6" s="1"/>
  <c r="F28" i="6"/>
  <c r="G37" i="7"/>
  <c r="E50" i="6"/>
  <c r="F35" i="7"/>
  <c r="F26" i="6" l="1"/>
  <c r="G35" i="7"/>
  <c r="E135" i="7"/>
  <c r="D23" i="2" s="1"/>
  <c r="E86" i="7"/>
  <c r="E9" i="7"/>
  <c r="E22" i="6" s="1"/>
  <c r="F24" i="6" l="1"/>
  <c r="G26" i="7"/>
  <c r="F9" i="7"/>
  <c r="E8" i="7"/>
  <c r="D17" i="2" s="1"/>
  <c r="F37" i="8"/>
  <c r="E36" i="8"/>
  <c r="E35" i="8" s="1"/>
  <c r="D11" i="2" s="1"/>
  <c r="E29" i="8"/>
  <c r="F24" i="8"/>
  <c r="G24" i="8" s="1"/>
  <c r="F23" i="8"/>
  <c r="G23" i="8" s="1"/>
  <c r="F21" i="8"/>
  <c r="G21" i="8" s="1"/>
  <c r="F19" i="8"/>
  <c r="G19" i="8" s="1"/>
  <c r="F18" i="8"/>
  <c r="G18" i="8" s="1"/>
  <c r="F14" i="8"/>
  <c r="F13" i="8"/>
  <c r="E56" i="6"/>
  <c r="I134" i="7"/>
  <c r="E133" i="7" s="1"/>
  <c r="E113" i="7"/>
  <c r="E104" i="7"/>
  <c r="E44" i="6" s="1"/>
  <c r="E101" i="7"/>
  <c r="E58" i="7"/>
  <c r="E38" i="6" s="1"/>
  <c r="F16" i="6" l="1"/>
  <c r="G37" i="8"/>
  <c r="F22" i="6"/>
  <c r="G9" i="7"/>
  <c r="D18" i="2"/>
  <c r="E103" i="7"/>
  <c r="D22" i="2" s="1"/>
  <c r="E97" i="7"/>
  <c r="D21" i="2" s="1"/>
  <c r="F106" i="7"/>
  <c r="E60" i="7"/>
  <c r="F113" i="7"/>
  <c r="G113" i="7" s="1"/>
  <c r="F87" i="7"/>
  <c r="E69" i="7"/>
  <c r="F119" i="7"/>
  <c r="F43" i="7"/>
  <c r="E72" i="7"/>
  <c r="E81" i="7"/>
  <c r="E36" i="6" s="1"/>
  <c r="E78" i="7"/>
  <c r="E28" i="8"/>
  <c r="E27" i="8" s="1"/>
  <c r="F29" i="8"/>
  <c r="G29" i="8" s="1"/>
  <c r="F15" i="8"/>
  <c r="F8" i="6" s="1"/>
  <c r="F9" i="8"/>
  <c r="G9" i="8" s="1"/>
  <c r="E8" i="8"/>
  <c r="F36" i="8"/>
  <c r="G36" i="8" s="1"/>
  <c r="F55" i="7"/>
  <c r="F101" i="7"/>
  <c r="G101" i="7" s="1"/>
  <c r="F136" i="7"/>
  <c r="F151" i="7"/>
  <c r="F49" i="7"/>
  <c r="F104" i="7"/>
  <c r="F133" i="7"/>
  <c r="G133" i="7" s="1"/>
  <c r="F147" i="7"/>
  <c r="G147" i="7" s="1"/>
  <c r="F153" i="7"/>
  <c r="G153" i="7" s="1"/>
  <c r="F58" i="7"/>
  <c r="F98" i="7"/>
  <c r="G58" i="7" l="1"/>
  <c r="F38" i="6"/>
  <c r="G104" i="7"/>
  <c r="F44" i="6"/>
  <c r="G136" i="7"/>
  <c r="F52" i="6"/>
  <c r="G106" i="7"/>
  <c r="F46" i="6"/>
  <c r="G43" i="7"/>
  <c r="F30" i="6"/>
  <c r="G49" i="7"/>
  <c r="G87" i="7"/>
  <c r="F40" i="6"/>
  <c r="F50" i="6"/>
  <c r="G119" i="7"/>
  <c r="G55" i="7"/>
  <c r="F42" i="6"/>
  <c r="G98" i="7"/>
  <c r="F56" i="6"/>
  <c r="G151" i="7"/>
  <c r="G15" i="8"/>
  <c r="D10" i="2"/>
  <c r="D24" i="2"/>
  <c r="E85" i="7"/>
  <c r="D20" i="2" s="1"/>
  <c r="E57" i="7"/>
  <c r="F149" i="7"/>
  <c r="G149" i="7" s="1"/>
  <c r="F150" i="7"/>
  <c r="G150" i="7" s="1"/>
  <c r="F27" i="8"/>
  <c r="G27" i="8" s="1"/>
  <c r="F35" i="8"/>
  <c r="G35" i="8" s="1"/>
  <c r="F78" i="7"/>
  <c r="G78" i="7" s="1"/>
  <c r="F72" i="7"/>
  <c r="G72" i="7" s="1"/>
  <c r="F48" i="7"/>
  <c r="G48" i="7" s="1"/>
  <c r="E18" i="2"/>
  <c r="E96" i="7"/>
  <c r="F92" i="7"/>
  <c r="F60" i="7"/>
  <c r="G60" i="7" s="1"/>
  <c r="F69" i="7"/>
  <c r="G69" i="7" s="1"/>
  <c r="F144" i="7"/>
  <c r="G144" i="7" s="1"/>
  <c r="F31" i="8"/>
  <c r="G31" i="8" s="1"/>
  <c r="F138" i="7"/>
  <c r="F81" i="7"/>
  <c r="F8" i="8"/>
  <c r="G8" i="8" s="1"/>
  <c r="E11" i="8"/>
  <c r="D7" i="2" s="1"/>
  <c r="F12" i="8"/>
  <c r="G12" i="8" s="1"/>
  <c r="F28" i="8"/>
  <c r="G28" i="8" s="1"/>
  <c r="F97" i="7"/>
  <c r="G138" i="7" l="1"/>
  <c r="F54" i="6"/>
  <c r="G92" i="7"/>
  <c r="G96" i="7"/>
  <c r="G97" i="7"/>
  <c r="F36" i="6"/>
  <c r="G81" i="7"/>
  <c r="E6" i="8"/>
  <c r="D5" i="2"/>
  <c r="E7" i="7"/>
  <c r="D19" i="2"/>
  <c r="D16" i="2" s="1"/>
  <c r="F135" i="7"/>
  <c r="G135" i="7" s="1"/>
  <c r="F86" i="7"/>
  <c r="G86" i="7" s="1"/>
  <c r="F103" i="7"/>
  <c r="G103" i="7" s="1"/>
  <c r="F8" i="7"/>
  <c r="G8" i="7" s="1"/>
  <c r="F57" i="7"/>
  <c r="G57" i="7" s="1"/>
  <c r="F7" i="8"/>
  <c r="G7" i="8" s="1"/>
  <c r="F11" i="8"/>
  <c r="G11" i="8" s="1"/>
  <c r="E5" i="6" l="1"/>
  <c r="E6" i="7"/>
  <c r="F85" i="7"/>
  <c r="G85" i="7" s="1"/>
  <c r="F96" i="7"/>
  <c r="F7" i="7"/>
  <c r="G7" i="7" s="1"/>
  <c r="F6" i="8"/>
  <c r="G6" i="8" s="1"/>
  <c r="E21" i="6" l="1"/>
  <c r="F6" i="7"/>
  <c r="G6" i="7" s="1"/>
  <c r="F5" i="6" l="1"/>
  <c r="F21" i="6" l="1"/>
  <c r="E22" i="2"/>
  <c r="E20" i="2"/>
  <c r="E23" i="2" l="1"/>
  <c r="E19" i="2" l="1"/>
  <c r="E21" i="2"/>
  <c r="E24" i="2" l="1"/>
  <c r="E17" i="2"/>
  <c r="E16" i="2"/>
  <c r="E11" i="2"/>
  <c r="E10" i="2"/>
  <c r="E9" i="2"/>
  <c r="E8" i="2"/>
  <c r="E7" i="2"/>
  <c r="E6" i="2"/>
  <c r="E5" i="2" l="1"/>
</calcChain>
</file>

<file path=xl/sharedStrings.xml><?xml version="1.0" encoding="utf-8"?>
<sst xmlns="http://schemas.openxmlformats.org/spreadsheetml/2006/main" count="372" uniqueCount="281">
  <si>
    <t>사회복지법인 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</si>
  <si>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</si>
  <si>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</si>
  <si>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</si>
  <si>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</si>
  <si>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</si>
  <si>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</si>
  <si>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</si>
  <si>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</si>
  <si>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</si>
  <si>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계</t>
    <phoneticPr fontId="2" type="noConversion"/>
  </si>
  <si>
    <t xml:space="preserve"> 예  산  총  칙</t>
    <phoneticPr fontId="2" type="noConversion"/>
  </si>
  <si>
    <t xml:space="preserve">                (단위: 원)</t>
    <phoneticPr fontId="2" type="noConversion"/>
  </si>
  <si>
    <t>과목</t>
    <phoneticPr fontId="2" type="noConversion"/>
  </si>
  <si>
    <t>산출근거</t>
    <phoneticPr fontId="2" type="noConversion"/>
  </si>
  <si>
    <t xml:space="preserve">관 </t>
    <phoneticPr fontId="2" type="noConversion"/>
  </si>
  <si>
    <t xml:space="preserve">항 </t>
    <phoneticPr fontId="2" type="noConversion"/>
  </si>
  <si>
    <t>목</t>
    <phoneticPr fontId="2" type="noConversion"/>
  </si>
  <si>
    <t>%</t>
    <phoneticPr fontId="2" type="noConversion"/>
  </si>
  <si>
    <t>총계</t>
    <phoneticPr fontId="2" type="noConversion"/>
  </si>
  <si>
    <t xml:space="preserve">이월금 </t>
    <phoneticPr fontId="2" type="noConversion"/>
  </si>
  <si>
    <t xml:space="preserve">전년도이월금 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</si>
  <si>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</si>
  <si>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</si>
  <si>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</si>
  <si>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</si>
  <si>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</si>
  <si>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</si>
  <si>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입소자부담금수입</t>
    <phoneticPr fontId="2" type="noConversion"/>
  </si>
  <si>
    <t>입소비용수입</t>
    <phoneticPr fontId="2" type="noConversion"/>
  </si>
  <si>
    <t>보조금수입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</si>
  <si>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</si>
  <si>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</si>
  <si>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</si>
  <si>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기타잡수입</t>
    <phoneticPr fontId="2" type="noConversion"/>
  </si>
  <si>
    <t>전입금</t>
    <phoneticPr fontId="2" type="noConversion"/>
  </si>
  <si>
    <t>경상보조금수입</t>
    <phoneticPr fontId="2" type="noConversion"/>
  </si>
  <si>
    <t>급여</t>
    <phoneticPr fontId="2" type="noConversion"/>
  </si>
  <si>
    <t>급여(기본급)</t>
    <phoneticPr fontId="2" type="noConversion"/>
  </si>
  <si>
    <t>제수당</t>
    <phoneticPr fontId="2" type="noConversion"/>
  </si>
  <si>
    <t>사회보험부담금</t>
    <phoneticPr fontId="2" type="noConversion"/>
  </si>
  <si>
    <t>사회보험부담비용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</si>
  <si>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</si>
  <si>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</si>
  <si>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</si>
  <si>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</si>
  <si>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</si>
  <si>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</si>
  <si>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</si>
  <si>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</si>
  <si>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</si>
  <si>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</si>
  <si>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</si>
  <si>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사업비</t>
    <phoneticPr fontId="2" type="noConversion"/>
  </si>
  <si>
    <t>생계비</t>
    <phoneticPr fontId="2" type="noConversion"/>
  </si>
  <si>
    <t>수용기관경비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</si>
  <si>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</si>
  <si>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</si>
  <si>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일반사업비</t>
    <phoneticPr fontId="2" type="noConversion"/>
  </si>
  <si>
    <t>홍보출판사업비</t>
    <phoneticPr fontId="2" type="noConversion"/>
  </si>
  <si>
    <t>직원연수교육비</t>
    <phoneticPr fontId="2" type="noConversion"/>
  </si>
  <si>
    <t>홍보출판비</t>
    <phoneticPr fontId="2" type="noConversion"/>
  </si>
  <si>
    <t>직원연수 및 교육비</t>
    <phoneticPr fontId="2" type="noConversion"/>
  </si>
  <si>
    <t>자원봉사자 및 후원자 관리비</t>
    <phoneticPr fontId="2" type="noConversion"/>
  </si>
  <si>
    <t>기타사업비</t>
    <phoneticPr fontId="2" type="noConversion"/>
  </si>
  <si>
    <t>예비비 및 기타</t>
    <phoneticPr fontId="2" type="noConversion"/>
  </si>
  <si>
    <t>예비비</t>
    <phoneticPr fontId="2" type="noConversion"/>
  </si>
  <si>
    <t>퇴직금 및 퇴직적립금</t>
    <phoneticPr fontId="2" type="noConversion"/>
  </si>
  <si>
    <t>*방범서비스료: 77,000원 x 12회</t>
    <phoneticPr fontId="2" type="noConversion"/>
  </si>
  <si>
    <t>봉사자 및 후원자 관리비</t>
    <phoneticPr fontId="2" type="noConversion"/>
  </si>
  <si>
    <t>참좋은기억학교</t>
    <phoneticPr fontId="2" type="noConversion"/>
  </si>
  <si>
    <t>입소자부담금수입</t>
    <phoneticPr fontId="2" type="noConversion"/>
  </si>
  <si>
    <t>입소비용수입</t>
    <phoneticPr fontId="2" type="noConversion"/>
  </si>
  <si>
    <t>보 조 금 수 입</t>
    <phoneticPr fontId="2" type="noConversion"/>
  </si>
  <si>
    <t>보 조 금 수 입</t>
    <phoneticPr fontId="2" type="noConversion"/>
  </si>
  <si>
    <t>후 원 금 수 입</t>
    <phoneticPr fontId="2" type="noConversion"/>
  </si>
  <si>
    <t>후 원 금 수 입</t>
    <phoneticPr fontId="2" type="noConversion"/>
  </si>
  <si>
    <t>전     입     금</t>
    <phoneticPr fontId="2" type="noConversion"/>
  </si>
  <si>
    <t>잡     수     입</t>
    <phoneticPr fontId="2" type="noConversion"/>
  </si>
  <si>
    <t>이     월     금</t>
    <phoneticPr fontId="2" type="noConversion"/>
  </si>
  <si>
    <t>(단위 : 원)</t>
    <phoneticPr fontId="2" type="noConversion"/>
  </si>
  <si>
    <t>사     무     비</t>
    <phoneticPr fontId="5" type="noConversion"/>
  </si>
  <si>
    <t>인     건     비</t>
    <phoneticPr fontId="5" type="noConversion"/>
  </si>
  <si>
    <t>운     영     비</t>
    <phoneticPr fontId="2" type="noConversion"/>
  </si>
  <si>
    <t>업 무 추 진 비</t>
    <phoneticPr fontId="2" type="noConversion"/>
  </si>
  <si>
    <t>재 산 조 성 비</t>
    <phoneticPr fontId="2" type="noConversion"/>
  </si>
  <si>
    <t>시     설     비</t>
    <phoneticPr fontId="2" type="noConversion"/>
  </si>
  <si>
    <t>사     업     비</t>
    <phoneticPr fontId="2" type="noConversion"/>
  </si>
  <si>
    <t>예비비 및 기타</t>
    <phoneticPr fontId="2" type="noConversion"/>
  </si>
  <si>
    <t>일 반 사 업 비</t>
    <phoneticPr fontId="2" type="noConversion"/>
  </si>
  <si>
    <t>변경예산 총계</t>
    <phoneticPr fontId="2" type="noConversion"/>
  </si>
  <si>
    <t>변경예산 총계</t>
    <phoneticPr fontId="2" type="noConversion"/>
  </si>
  <si>
    <t>증감(B-A)</t>
    <phoneticPr fontId="2" type="noConversion"/>
  </si>
  <si>
    <t>기타예금이자수입</t>
    <phoneticPr fontId="2" type="noConversion"/>
  </si>
  <si>
    <t>6. 보편적으로 발생하는 지출에 있어서는 세출예산에도 불구하고 초과 집행하고 차기 이사회에서</t>
    <phoneticPr fontId="2" type="noConversion"/>
  </si>
  <si>
    <t xml:space="preserve">    있다.</t>
    <phoneticPr fontId="2" type="noConversion"/>
  </si>
  <si>
    <t>시설장비유지비</t>
    <phoneticPr fontId="2" type="noConversion"/>
  </si>
  <si>
    <t>4. 사업수입(본인부담금), 국시비보조금, 후원금 등의 세입이 감소할 경우 기존사업을 축소할 수 있다.</t>
    <phoneticPr fontId="2" type="noConversion"/>
  </si>
  <si>
    <t xml:space="preserve">   추가경정 예산을 승인 받을 수 있다.</t>
    <phoneticPr fontId="2" type="noConversion"/>
  </si>
  <si>
    <t>재활프로그램사업비</t>
    <phoneticPr fontId="2" type="noConversion"/>
  </si>
  <si>
    <t>일상생활지원사업비</t>
    <phoneticPr fontId="2" type="noConversion"/>
  </si>
  <si>
    <t>특별사업지원사업비</t>
    <phoneticPr fontId="2" type="noConversion"/>
  </si>
  <si>
    <t>간호및처치사업비</t>
    <phoneticPr fontId="2" type="noConversion"/>
  </si>
  <si>
    <t>상담사업비</t>
    <phoneticPr fontId="2" type="noConversion"/>
  </si>
  <si>
    <t xml:space="preserve">5. 사업수입(본인부담금),국시비보조금, 후원금등의 세입이 증가 할 경우 세입세출예산을 초과할  </t>
    <phoneticPr fontId="2" type="noConversion"/>
  </si>
  <si>
    <t xml:space="preserve">   수 있다.</t>
    <phoneticPr fontId="2" type="noConversion"/>
  </si>
  <si>
    <t>7. 세출예산에서 초과지출이 발생할 경우에 동일관 내의 목간전용으로 부족한 예산을 집행할 수가</t>
    <phoneticPr fontId="2" type="noConversion"/>
  </si>
  <si>
    <t>*신원보증보험: 50,000원 x 2명</t>
    <phoneticPr fontId="2" type="noConversion"/>
  </si>
  <si>
    <t>*간호처치 및 관리: 150,000원 x 4회</t>
    <phoneticPr fontId="2" type="noConversion"/>
  </si>
  <si>
    <t>*기타수용비 및 인쇄비: 300,000원 x 4회</t>
    <phoneticPr fontId="2" type="noConversion"/>
  </si>
  <si>
    <t>전년도이월금</t>
    <phoneticPr fontId="2" type="noConversion"/>
  </si>
  <si>
    <t>시군구보조금수입</t>
    <phoneticPr fontId="2" type="noConversion"/>
  </si>
  <si>
    <t>국고보조금수입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</si>
  <si>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</si>
  <si>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</si>
  <si>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</si>
  <si>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*인터넷 사용료 및 전화료: 70,000원 x 12월</t>
    <phoneticPr fontId="2" type="noConversion"/>
  </si>
  <si>
    <t>*시설건물관리비: 500,000원 x 12회</t>
    <phoneticPr fontId="2" type="noConversion"/>
  </si>
  <si>
    <t>반환금</t>
    <phoneticPr fontId="2" type="noConversion"/>
  </si>
  <si>
    <t>■ 사업장명 : 참좋은기억학교</t>
  </si>
  <si>
    <t>○ 세입의 주요내용</t>
    <phoneticPr fontId="2" type="noConversion"/>
  </si>
  <si>
    <t xml:space="preserve">  (단위: 원)</t>
    <phoneticPr fontId="2" type="noConversion"/>
  </si>
  <si>
    <t xml:space="preserve">○ 세출의 주요내용 </t>
    <phoneticPr fontId="2" type="noConversion"/>
  </si>
  <si>
    <t>3. 본 예산은 사회복지법인 재무회계규칙 제 2장 예산과 결산에 의거 편성하며 집행한다.</t>
    <phoneticPr fontId="2" type="noConversion"/>
  </si>
  <si>
    <t>*직원 복지포인트: 1,850,000원 x 1회</t>
    <phoneticPr fontId="2" type="noConversion"/>
  </si>
  <si>
    <t>*직원 단체상해보험: 90,000원 x 1회</t>
    <phoneticPr fontId="2" type="noConversion"/>
  </si>
  <si>
    <t>*기타사업 및 교구구입비: 100,000원 x 2회</t>
    <phoneticPr fontId="2" type="noConversion"/>
  </si>
  <si>
    <t>*송영차량구입 월할부금(쉐보레 스파크): 238,333원 x 12회</t>
    <phoneticPr fontId="2" type="noConversion"/>
  </si>
  <si>
    <t>*사무용품 및 집기구입: 340,600원 x 8회</t>
    <phoneticPr fontId="2" type="noConversion"/>
  </si>
  <si>
    <t>*복사기/복합기임차료: 204,600원 x 12월</t>
    <phoneticPr fontId="2" type="noConversion"/>
  </si>
  <si>
    <t xml:space="preserve"> </t>
    <phoneticPr fontId="2" type="noConversion"/>
  </si>
  <si>
    <t>*사무기기(데스크탑 등) 렌탈이용료: 204,600원 x 12회</t>
    <phoneticPr fontId="2" type="noConversion"/>
  </si>
  <si>
    <t>*사회복지사 보수교육: 28,000원 x 6명</t>
    <phoneticPr fontId="2" type="noConversion"/>
  </si>
  <si>
    <t>*자동차세 外: 80,000원 x 3대</t>
    <phoneticPr fontId="2" type="noConversion"/>
  </si>
  <si>
    <t>*유류대: 600,000원 x 12월(송영차량 3대)</t>
    <phoneticPr fontId="2" type="noConversion"/>
  </si>
  <si>
    <t>*치매예방체조 外: 50,000원 x 4회</t>
    <phoneticPr fontId="2" type="noConversion"/>
  </si>
  <si>
    <t>*수용기관경비: 100,000원 x 2회</t>
    <phoneticPr fontId="2" type="noConversion"/>
  </si>
  <si>
    <t>*시군구보조금(관리운영비): 5,500,000원 x 4분기</t>
    <phoneticPr fontId="2" type="noConversion"/>
  </si>
  <si>
    <t xml:space="preserve">시간외수당(월 5시간 x 7명 x 12월) </t>
    <phoneticPr fontId="2" type="noConversion"/>
  </si>
  <si>
    <t>시도보조금수입</t>
    <phoneticPr fontId="2" type="noConversion"/>
  </si>
  <si>
    <t>*기타 교육 등: 30,000원 x 4회</t>
    <phoneticPr fontId="2" type="noConversion"/>
  </si>
  <si>
    <t>*기억학교 종사자 워크샵 참가비: 500,000원 x 1회</t>
    <phoneticPr fontId="2" type="noConversion"/>
  </si>
  <si>
    <t>*차량보험료: 1,000,000원 x 3대</t>
    <phoneticPr fontId="2" type="noConversion"/>
  </si>
  <si>
    <t>*자원봉사자 관리비: 200,000원 x 4회</t>
    <phoneticPr fontId="2" type="noConversion"/>
  </si>
  <si>
    <t>*전기,도시가스,상하수도 등: 500,000원 x 12월</t>
    <phoneticPr fontId="2" type="noConversion"/>
  </si>
  <si>
    <t>*간호조무사 보수교육: 35,000원 x 1명</t>
    <phoneticPr fontId="2" type="noConversion"/>
  </si>
  <si>
    <t>*반환금(보조금예금이자수입): 20,000원 x 1회</t>
    <phoneticPr fontId="2" type="noConversion"/>
  </si>
  <si>
    <t>*잡수입(직원식대): 500,000원 x 12월</t>
    <phoneticPr fontId="2" type="noConversion"/>
  </si>
  <si>
    <t>*나들이행사(봄/가을): 600,000원 x 2회</t>
    <phoneticPr fontId="2" type="noConversion"/>
  </si>
  <si>
    <t>*이용어르신 의자 등 집기구입: 3,200,000원 x 1회</t>
    <phoneticPr fontId="2" type="noConversion"/>
  </si>
  <si>
    <t>*냉난방기 유지관리비 外: 100,000원 x 1회</t>
    <phoneticPr fontId="2" type="noConversion"/>
  </si>
  <si>
    <t>*직원식대비: 500,000원 x 12월</t>
    <phoneticPr fontId="2" type="noConversion"/>
  </si>
  <si>
    <t>*직원상용피복비: 100,000원 x 9명</t>
    <phoneticPr fontId="2" type="noConversion"/>
  </si>
  <si>
    <t>*기타 잡수입 증액 조정</t>
    <phoneticPr fontId="2" type="noConversion"/>
  </si>
  <si>
    <t>사업비</t>
  </si>
  <si>
    <t>*기관운영비: 100,000원 x 4분기</t>
    <phoneticPr fontId="2" type="noConversion"/>
  </si>
  <si>
    <t>*노후비품 교체 자산취득비: 300,000원 x 4회</t>
    <phoneticPr fontId="2" type="noConversion"/>
  </si>
  <si>
    <t>*시사교실: 51,000원 x 4회</t>
    <phoneticPr fontId="2" type="noConversion"/>
  </si>
  <si>
    <t>*홍보출판비: 1,000,000원 x 4회</t>
    <phoneticPr fontId="2" type="noConversion"/>
  </si>
  <si>
    <t xml:space="preserve">*기관 소독 및 방역비: 30,000원 x 6회 </t>
    <phoneticPr fontId="2" type="noConversion"/>
  </si>
  <si>
    <t>1. 참좋은기억학교의 2024년 최초 세입,세출 예산은 다음과 같다.</t>
    <phoneticPr fontId="2" type="noConversion"/>
  </si>
  <si>
    <t>최초 세입.세출 예산(안)</t>
    <phoneticPr fontId="2" type="noConversion"/>
  </si>
  <si>
    <t>2024년 참좋은기억학교 최초예산 총괄내역서</t>
    <phoneticPr fontId="2" type="noConversion"/>
  </si>
  <si>
    <t>2024년 최초예산
(B)</t>
    <phoneticPr fontId="2" type="noConversion"/>
  </si>
  <si>
    <t>2023년 결산추경
(A)</t>
    <phoneticPr fontId="2" type="noConversion"/>
  </si>
  <si>
    <t>액수(C)</t>
    <phoneticPr fontId="2" type="noConversion"/>
  </si>
  <si>
    <t>1) 2024년 참좋은기억학교 최초 세입 예산 내역</t>
    <phoneticPr fontId="2" type="noConversion"/>
  </si>
  <si>
    <t>2) 2024년 참좋은기억학교 최초 세출 예산 내역</t>
    <phoneticPr fontId="2" type="noConversion"/>
  </si>
  <si>
    <t>2024년 참좋은기억학교 최초 예산 증감사항 및 주요내용</t>
    <phoneticPr fontId="2" type="noConversion"/>
  </si>
  <si>
    <t>*전년도이월금(후원금): 476,026원 x 1회</t>
    <phoneticPr fontId="2" type="noConversion"/>
  </si>
  <si>
    <t>*전년도이월금(잡수입): 475,844 x 1회</t>
    <phoneticPr fontId="2" type="noConversion"/>
  </si>
  <si>
    <t>*기타 복리후생경비: 250,000원 x 2회</t>
    <phoneticPr fontId="2" type="noConversion"/>
  </si>
  <si>
    <t>*원예교실: 100,000원 x 12회</t>
    <phoneticPr fontId="2" type="noConversion"/>
  </si>
  <si>
    <t>*미술교실: 100,000원 x 6회</t>
    <phoneticPr fontId="2" type="noConversion"/>
  </si>
  <si>
    <t>*클레이교실: 100,000원 x 4회</t>
    <phoneticPr fontId="2" type="noConversion"/>
  </si>
  <si>
    <t>*놀이교실: 50,000원 x 2회</t>
    <phoneticPr fontId="2" type="noConversion"/>
  </si>
  <si>
    <t>*문학교실: 20,000원 x 2회</t>
    <phoneticPr fontId="2" type="noConversion"/>
  </si>
  <si>
    <t>*뷰티교실: 50,000원 x 6회</t>
    <phoneticPr fontId="2" type="noConversion"/>
  </si>
  <si>
    <t>*다도교실: 50,000원  x 12회</t>
    <phoneticPr fontId="2" type="noConversion"/>
  </si>
  <si>
    <t>*생신잔치: 50,000원 x 12회</t>
    <phoneticPr fontId="2" type="noConversion"/>
  </si>
  <si>
    <t>*생신선물 구입: 400,000원 x 1회</t>
    <phoneticPr fontId="2" type="noConversion"/>
  </si>
  <si>
    <t>*나들이행사(소규모): 150,000원 x 2회</t>
    <phoneticPr fontId="2" type="noConversion"/>
  </si>
  <si>
    <t>*설,추석행사: 12,000원 x 40명 x 2회</t>
    <phoneticPr fontId="2" type="noConversion"/>
  </si>
  <si>
    <t>*정월대보름: 200,000원 x 1회</t>
    <phoneticPr fontId="2" type="noConversion"/>
  </si>
  <si>
    <t>*어버이날행사: 10,000원 x 40명 x 1회</t>
    <phoneticPr fontId="2" type="noConversion"/>
  </si>
  <si>
    <t>*동지행사: 150,000원 x 1회</t>
    <phoneticPr fontId="2" type="noConversion"/>
  </si>
  <si>
    <t>*노래자랑행사: 400,000원 x 4회</t>
    <phoneticPr fontId="2" type="noConversion"/>
  </si>
  <si>
    <t>*명절선물 및 포상 등: 300,000원 x 2회</t>
    <phoneticPr fontId="2" type="noConversion"/>
  </si>
  <si>
    <t>*보호자 자조모임(상,하반기): 700,000원 x 2회</t>
    <phoneticPr fontId="2" type="noConversion"/>
  </si>
  <si>
    <t>기능회복지원사업비</t>
    <phoneticPr fontId="2" type="noConversion"/>
  </si>
  <si>
    <t>*복날행사: 400,000원 x 1회</t>
    <phoneticPr fontId="2" type="noConversion"/>
  </si>
  <si>
    <t>*시설장(16호봉): 3,747,093원 x 1월 x 1명</t>
    <phoneticPr fontId="2" type="noConversion"/>
  </si>
  <si>
    <t>*시설장(17호봉): 4,203,833원 x 11월 x 1명</t>
    <phoneticPr fontId="2" type="noConversion"/>
  </si>
  <si>
    <t>*선임사회복지사1(9호봉): 2,839,353원 x 9월 x 1명</t>
    <phoneticPr fontId="2" type="noConversion"/>
  </si>
  <si>
    <t>*선임사회복지사1(10호봉): 2,933,038원 x 3월 x 1명</t>
    <phoneticPr fontId="2" type="noConversion"/>
  </si>
  <si>
    <t>*주방비품 교체 자산취득비: 1,800,000원 x 2회</t>
    <phoneticPr fontId="2" type="noConversion"/>
  </si>
  <si>
    <t>*종사자 독감예방주사: 30,000원 x 9회</t>
    <phoneticPr fontId="2" type="noConversion"/>
  </si>
  <si>
    <t>*사무원(2호봉): 2,180,278원 x 8월 x 1명</t>
    <phoneticPr fontId="2" type="noConversion"/>
  </si>
  <si>
    <t>*사무원(3호봉): 2,232,963원 x 4월 x 1명</t>
    <phoneticPr fontId="2" type="noConversion"/>
  </si>
  <si>
    <t>*간호조무사(연봉제): 2,116,625원 x 12월 x 1명</t>
    <phoneticPr fontId="2" type="noConversion"/>
  </si>
  <si>
    <t>*조리사(연봉제): 1,609,250원 x 12월 x 1명</t>
    <phoneticPr fontId="2" type="noConversion"/>
  </si>
  <si>
    <t>■ 사업장명: 참좋은기억학교</t>
  </si>
  <si>
    <t>*명절상여금: 27,156,002원</t>
  </si>
  <si>
    <t>명절상여금: 13,578,001원 x 2회</t>
  </si>
  <si>
    <t>*가족수당: 3,840,000원</t>
  </si>
  <si>
    <t>가족수당: 960,000원 x 4분기</t>
  </si>
  <si>
    <t>자격수당: 50,000원 x 12회 x 2명</t>
  </si>
  <si>
    <t xml:space="preserve">*차량관리비 및 수리비: 300,000원 x 3대 x 4회 </t>
  </si>
  <si>
    <t>*기타 시설장비유지비: 100,000원 x 1회</t>
  </si>
  <si>
    <t>*김장비용: 2,500,000원 x 1회</t>
  </si>
  <si>
    <t>*자격수당: 1,200,000원</t>
    <phoneticPr fontId="2" type="noConversion"/>
  </si>
  <si>
    <t>*기타잡수입(사회복지실습 外): 150,000원 x 12회</t>
    <phoneticPr fontId="2" type="noConversion"/>
  </si>
  <si>
    <t>*생계비: 2,500원 x 40명 x 247일</t>
    <phoneticPr fontId="2" type="noConversion"/>
  </si>
  <si>
    <t>*주방 닥트청소 및 유지관리비: 1,500,000원 x 1회</t>
    <phoneticPr fontId="2" type="noConversion"/>
  </si>
  <si>
    <t>*영업배상책임보험 外: 1,300,000원 x 1회</t>
    <phoneticPr fontId="2" type="noConversion"/>
  </si>
  <si>
    <t>*여비: 50,000원 x 6회</t>
    <phoneticPr fontId="2" type="noConversion"/>
  </si>
  <si>
    <t>*기억학교협회 감사의 날: 600,000원 x 1회</t>
    <phoneticPr fontId="2" type="noConversion"/>
  </si>
  <si>
    <t>*특별행사PG: 150,000원 x 2회</t>
    <phoneticPr fontId="2" type="noConversion"/>
  </si>
  <si>
    <t>*사회복지사2(3호봉): 2,204,878원 x 2월 x 1명</t>
    <phoneticPr fontId="2" type="noConversion"/>
  </si>
  <si>
    <t>*사회복지사2(4호봉): 2,262,073원 x 10월 x 1명</t>
    <phoneticPr fontId="2" type="noConversion"/>
  </si>
  <si>
    <t>*사회복지사3(7호봉): 2,470,250원 x 11월 x 1명</t>
    <phoneticPr fontId="2" type="noConversion"/>
  </si>
  <si>
    <t>*사회복지사3(8호봉): 2,567,933원 x 1월 x 1명</t>
    <phoneticPr fontId="2" type="noConversion"/>
  </si>
  <si>
    <t>*기타 기관운영비: 300,000원 x 4분기</t>
    <phoneticPr fontId="2" type="noConversion"/>
  </si>
  <si>
    <t>*기타예금이자수입: 15,050원 * 2회</t>
    <phoneticPr fontId="2" type="noConversion"/>
  </si>
  <si>
    <t>*종사자 인건비 인상에 따른 시군구보조금 증액 조정</t>
    <phoneticPr fontId="2" type="noConversion"/>
  </si>
  <si>
    <t>*지정후원금 수입 감액 조정</t>
    <phoneticPr fontId="2" type="noConversion"/>
  </si>
  <si>
    <t>*차년도 이월예정금에 따른 전년도이월금 증액 조정</t>
    <phoneticPr fontId="2" type="noConversion"/>
  </si>
  <si>
    <t>*사회보험요율 인상에 따른 증액 조정</t>
    <phoneticPr fontId="2" type="noConversion"/>
  </si>
  <si>
    <t>*기타운영비: 100,000원 x 5회</t>
    <phoneticPr fontId="2" type="noConversion"/>
  </si>
  <si>
    <t>이월금</t>
    <phoneticPr fontId="2" type="noConversion"/>
  </si>
  <si>
    <t>*실비수입(일1만원): 10,000원 x 24.5명 x 247일</t>
    <phoneticPr fontId="2" type="noConversion"/>
  </si>
  <si>
    <t>*사회복지사5(7호봉): 2,470,250원 x 8월 x 1명</t>
    <phoneticPr fontId="2" type="noConversion"/>
  </si>
  <si>
    <t>*사회복지사4(9호봉): 2,659,875원 x 8월 x 1명</t>
    <phoneticPr fontId="2" type="noConversion"/>
  </si>
  <si>
    <t>*사회복지사4(10호봉): 2,740,133원 x 4월 x 1명</t>
    <phoneticPr fontId="2" type="noConversion"/>
  </si>
  <si>
    <t>*사회복지사5(8호봉): 2,567,933원 x 4월 x 1명</t>
    <phoneticPr fontId="2" type="noConversion"/>
  </si>
  <si>
    <t>*시간외수당: 7,364,650원</t>
    <phoneticPr fontId="2" type="noConversion"/>
  </si>
  <si>
    <t>*장기요양보험: 11,132,442원 x 12.95%</t>
    <phoneticPr fontId="2" type="noConversion"/>
  </si>
  <si>
    <t>*고용보험: 264,042,952원 x 1.25%</t>
    <phoneticPr fontId="2" type="noConversion"/>
  </si>
  <si>
    <t>*산재보험: 264,042,952원  x 0.76%</t>
    <phoneticPr fontId="2" type="noConversion"/>
  </si>
  <si>
    <t>*기억학교 10주년 기념행사: 450,000원 x 1회</t>
    <phoneticPr fontId="2" type="noConversion"/>
  </si>
  <si>
    <t>*회의비(운영위원회 등): 300,000원 x 4분기</t>
    <phoneticPr fontId="2" type="noConversion"/>
  </si>
  <si>
    <t>*프로그램실 자산취득비: 1,000,000원 x 1회</t>
    <phoneticPr fontId="2" type="noConversion"/>
  </si>
  <si>
    <t>*기억학교 10주년 기념행사: 500,000원 x 1회</t>
    <phoneticPr fontId="2" type="noConversion"/>
  </si>
  <si>
    <t>*전년도이월금(사업수입): 24,180,000원 x 1회</t>
    <phoneticPr fontId="2" type="noConversion"/>
  </si>
  <si>
    <t>*기관 10주년 기념행사 실시에 따른 증액 조정</t>
    <phoneticPr fontId="2" type="noConversion"/>
  </si>
  <si>
    <t>*기타복리후생에 계획에 따른 증액 조정</t>
    <phoneticPr fontId="2" type="noConversion"/>
  </si>
  <si>
    <t>*기타 복지프로그램: 50,000원 x 26회</t>
    <phoneticPr fontId="2" type="noConversion"/>
  </si>
  <si>
    <t>*기타세금 및 각종 협회비: 300,000원 x 3회</t>
    <phoneticPr fontId="2" type="noConversion"/>
  </si>
  <si>
    <t>*기타운영비 절감에 따른 감액 조정</t>
    <phoneticPr fontId="2" type="noConversion"/>
  </si>
  <si>
    <t>*노후비품 교체를 위한 증액 조정</t>
    <phoneticPr fontId="2" type="noConversion"/>
  </si>
  <si>
    <t>일상생활지원사업비</t>
    <phoneticPr fontId="2" type="noConversion"/>
  </si>
  <si>
    <t>재활프로그램사업비</t>
    <phoneticPr fontId="2" type="noConversion"/>
  </si>
  <si>
    <t>*24년도 재활프로그램 계획 수립으로 인한 증액 조정</t>
    <phoneticPr fontId="2" type="noConversion"/>
  </si>
  <si>
    <t>*24년도 일상생활지원 프로그램 계획 수립으로 인한 증액 조정</t>
    <phoneticPr fontId="2" type="noConversion"/>
  </si>
  <si>
    <t>*24년도 특별사업지원 프로그램 계획 수립으로 인한 증액 조정</t>
    <phoneticPr fontId="2" type="noConversion"/>
  </si>
  <si>
    <t>*직원연수교육비 절감에 따른 감액 조정</t>
    <phoneticPr fontId="2" type="noConversion"/>
  </si>
  <si>
    <t>*종사자 교육 참가를 위한 증액 조정</t>
    <phoneticPr fontId="2" type="noConversion"/>
  </si>
  <si>
    <t>*예비비 감액 조정</t>
    <phoneticPr fontId="2" type="noConversion"/>
  </si>
  <si>
    <t xml:space="preserve">2024년 참좋은기억학교 </t>
    <phoneticPr fontId="2" type="noConversion"/>
  </si>
  <si>
    <t>2023. 12. 04.</t>
    <phoneticPr fontId="2" type="noConversion"/>
  </si>
  <si>
    <t>*직원연수: 200,000원 x 2회</t>
    <phoneticPr fontId="2" type="noConversion"/>
  </si>
  <si>
    <t>*퇴직적립금: 317,632,208원 / 12회</t>
    <phoneticPr fontId="2" type="noConversion"/>
  </si>
  <si>
    <t>*국민연금: 317,632,208원 x 4.5%</t>
    <phoneticPr fontId="2" type="noConversion"/>
  </si>
  <si>
    <t>*건강보험: 317,632,208원 x 3.545%</t>
    <phoneticPr fontId="2" type="noConversion"/>
  </si>
  <si>
    <t>직책보조비</t>
    <phoneticPr fontId="2" type="noConversion"/>
  </si>
  <si>
    <t>*직책보조비 지급에 따른 증액 조정</t>
    <phoneticPr fontId="2" type="noConversion"/>
  </si>
  <si>
    <t>*종사자 인건비 인상에 따른 증액 조정</t>
    <phoneticPr fontId="2" type="noConversion"/>
  </si>
  <si>
    <t>*급여 및 제수당 증액에 따른 증액 조정</t>
    <phoneticPr fontId="2" type="noConversion"/>
  </si>
  <si>
    <t>*물가 인상으로 인한 증액 조정</t>
    <phoneticPr fontId="2" type="noConversion"/>
  </si>
  <si>
    <t>*홍보출판사업비 절감에 따른 감액 조정</t>
    <phoneticPr fontId="2" type="noConversion"/>
  </si>
  <si>
    <t>*비지정후원금: 100,000원 * 9회</t>
  </si>
  <si>
    <t>*시군구보조금(인건비): 92,905,128원 x 4분기</t>
    <phoneticPr fontId="2" type="noConversion"/>
  </si>
  <si>
    <t>*기타잡수입: 202,518원 x 1회</t>
    <phoneticPr fontId="2" type="noConversion"/>
  </si>
  <si>
    <t>*예비비: 223,292원 x 1회</t>
    <phoneticPr fontId="2" type="noConversion"/>
  </si>
  <si>
    <t>*어르신 총원 감소에 따른 입소비용수입 감액 조정</t>
    <phoneticPr fontId="2" type="noConversion"/>
  </si>
  <si>
    <t>직책보조비: 3,600,000원</t>
    <phoneticPr fontId="2" type="noConversion"/>
  </si>
  <si>
    <t>*직책보조비: 300,000원 x 12월 x 1명</t>
    <phoneticPr fontId="2" type="noConversion"/>
  </si>
  <si>
    <r>
      <t xml:space="preserve">2. 세입.세출 예산 총액은 </t>
    </r>
    <r>
      <rPr>
        <b/>
        <u/>
        <sz val="12"/>
        <rFont val="굴림"/>
        <family val="3"/>
        <charset val="129"/>
      </rPr>
      <t>491,800,000원</t>
    </r>
    <r>
      <rPr>
        <sz val="12"/>
        <rFont val="굴림"/>
        <family val="3"/>
        <charset val="129"/>
      </rPr>
      <t>으로한다.</t>
    </r>
    <phoneticPr fontId="2" type="noConversion"/>
  </si>
  <si>
    <t>법인전입금(후원금)</t>
    <phoneticPr fontId="2" type="noConversion"/>
  </si>
  <si>
    <t>*법인전입금(후원금) 증액 조정</t>
    <phoneticPr fontId="2" type="noConversion"/>
  </si>
  <si>
    <t>*법인전입금(후원금)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</si>
</sst>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#,##0_ "/>
  </numFmts>
  <fonts count="2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sz val="20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25"/>
      <name val="굴림"/>
      <family val="3"/>
      <charset val="129"/>
    </font>
    <font>
      <sz val="12"/>
      <name val="굴림"/>
      <family val="3"/>
      <charset val="129"/>
    </font>
    <font>
      <b/>
      <u/>
      <sz val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sz val="12"/>
      <name val="굴림"/>
      <family val="3"/>
      <charset val="129"/>
    </font>
    <font>
      <sz val="12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69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41" fontId="2" fillId="0" borderId="0" xfId="2" applyNumberFormat="1" applyFont="1">
      <alignment vertical="center"/>
    </xf>
    <xf numFmtId="0" fontId="2" fillId="0" borderId="0" xfId="2" applyFont="1">
      <alignment vertical="center"/>
    </xf>
    <xf numFmtId="0" fontId="7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8" fillId="0" borderId="10" xfId="0" applyNumberFormat="1" applyFont="1" applyBorder="1">
      <alignment vertical="center"/>
    </xf>
    <xf numFmtId="3" fontId="8" fillId="0" borderId="11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3" fontId="9" fillId="0" borderId="14" xfId="0" applyNumberFormat="1" applyFont="1" applyBorder="1">
      <alignment vertical="center"/>
    </xf>
    <xf numFmtId="3" fontId="9" fillId="0" borderId="15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" fontId="9" fillId="0" borderId="21" xfId="0" applyNumberFormat="1" applyFont="1" applyBorder="1">
      <alignment vertical="center"/>
    </xf>
    <xf numFmtId="3" fontId="9" fillId="0" borderId="22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3" fontId="9" fillId="0" borderId="25" xfId="0" applyNumberFormat="1" applyFont="1" applyBorder="1">
      <alignment vertical="center"/>
    </xf>
    <xf numFmtId="3" fontId="9" fillId="0" borderId="26" xfId="0" applyNumberFormat="1" applyFont="1" applyBorder="1" applyAlignment="1">
      <alignment horizontal="right" vertic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8" fillId="0" borderId="11" xfId="0" applyNumberFormat="1" applyFont="1" applyBorder="1">
      <alignment vertical="center"/>
    </xf>
    <xf numFmtId="0" fontId="9" fillId="0" borderId="28" xfId="0" applyFont="1" applyBorder="1" applyAlignment="1">
      <alignment horizontal="center" vertical="center"/>
    </xf>
    <xf numFmtId="3" fontId="9" fillId="0" borderId="29" xfId="0" applyNumberFormat="1" applyFont="1" applyBorder="1">
      <alignment vertical="center"/>
    </xf>
    <xf numFmtId="3" fontId="9" fillId="0" borderId="20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9" fillId="0" borderId="26" xfId="0" applyNumberFormat="1" applyFont="1" applyBorder="1">
      <alignment vertical="center"/>
    </xf>
    <xf numFmtId="0" fontId="3" fillId="0" borderId="0" xfId="0" applyFont="1">
      <alignment vertical="center"/>
    </xf>
    <xf numFmtId="0" fontId="9" fillId="0" borderId="38" xfId="0" applyFont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3" fontId="9" fillId="0" borderId="30" xfId="0" applyNumberFormat="1" applyFont="1" applyBorder="1">
      <alignment vertical="center"/>
    </xf>
    <xf numFmtId="3" fontId="9" fillId="0" borderId="15" xfId="0" applyNumberFormat="1" applyFont="1" applyBorder="1">
      <alignment vertical="center"/>
    </xf>
    <xf numFmtId="0" fontId="3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9" fillId="0" borderId="38" xfId="2" applyFont="1" applyBorder="1">
      <alignment vertical="center"/>
    </xf>
    <xf numFmtId="0" fontId="9" fillId="0" borderId="37" xfId="2" applyFont="1" applyBorder="1">
      <alignment vertical="center"/>
    </xf>
    <xf numFmtId="0" fontId="9" fillId="0" borderId="0" xfId="2" applyFont="1">
      <alignment vertical="center"/>
    </xf>
    <xf numFmtId="3" fontId="9" fillId="0" borderId="0" xfId="2" applyNumberFormat="1" applyFont="1">
      <alignment vertical="center"/>
    </xf>
    <xf numFmtId="0" fontId="8" fillId="0" borderId="6" xfId="0" applyFont="1" applyBorder="1" applyAlignment="1">
      <alignment horizontal="center" vertical="center" wrapText="1" shrinkToFit="1"/>
    </xf>
    <xf numFmtId="0" fontId="9" fillId="0" borderId="0" xfId="2" applyFont="1" applyAlignment="1">
      <alignment horizontal="left" vertical="center" shrinkToFit="1"/>
    </xf>
    <xf numFmtId="3" fontId="3" fillId="0" borderId="0" xfId="0" applyNumberFormat="1" applyFont="1">
      <alignment vertical="center"/>
    </xf>
    <xf numFmtId="0" fontId="12" fillId="0" borderId="0" xfId="0" applyFont="1" applyAlignment="1">
      <alignment vertical="center" shrinkToFit="1"/>
    </xf>
    <xf numFmtId="0" fontId="9" fillId="0" borderId="38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29" xfId="2" applyFont="1" applyBorder="1">
      <alignment vertical="center"/>
    </xf>
    <xf numFmtId="0" fontId="9" fillId="0" borderId="42" xfId="2" applyFont="1" applyBorder="1" applyAlignment="1">
      <alignment horizontal="left" vertical="center"/>
    </xf>
    <xf numFmtId="3" fontId="9" fillId="0" borderId="42" xfId="2" applyNumberFormat="1" applyFont="1" applyBorder="1">
      <alignment vertical="center"/>
    </xf>
    <xf numFmtId="3" fontId="3" fillId="0" borderId="0" xfId="2" applyNumberFormat="1" applyFont="1">
      <alignment vertical="center"/>
    </xf>
    <xf numFmtId="41" fontId="9" fillId="0" borderId="0" xfId="1" applyFont="1">
      <alignment vertical="center"/>
    </xf>
    <xf numFmtId="0" fontId="9" fillId="0" borderId="63" xfId="2" applyFont="1" applyBorder="1" applyAlignment="1">
      <alignment horizontal="center" vertical="center"/>
    </xf>
    <xf numFmtId="3" fontId="9" fillId="0" borderId="63" xfId="2" applyNumberFormat="1" applyFont="1" applyBorder="1" applyAlignment="1">
      <alignment horizontal="center" vertical="center" wrapText="1"/>
    </xf>
    <xf numFmtId="41" fontId="3" fillId="0" borderId="0" xfId="1" applyFont="1">
      <alignment vertical="center"/>
    </xf>
    <xf numFmtId="0" fontId="9" fillId="0" borderId="68" xfId="2" applyFont="1" applyBorder="1" applyAlignment="1">
      <alignment horizontal="center" vertical="center"/>
    </xf>
    <xf numFmtId="0" fontId="9" fillId="0" borderId="12" xfId="2" applyFont="1" applyBorder="1" applyAlignment="1">
      <alignment vertical="center" shrinkToFit="1"/>
    </xf>
    <xf numFmtId="0" fontId="9" fillId="0" borderId="17" xfId="2" applyFont="1" applyBorder="1" applyAlignment="1">
      <alignment vertical="center" shrinkToFit="1"/>
    </xf>
    <xf numFmtId="0" fontId="9" fillId="0" borderId="45" xfId="2" applyFont="1" applyBorder="1">
      <alignment vertical="center"/>
    </xf>
    <xf numFmtId="0" fontId="9" fillId="0" borderId="16" xfId="2" applyFont="1" applyBorder="1">
      <alignment vertical="center"/>
    </xf>
    <xf numFmtId="3" fontId="0" fillId="0" borderId="0" xfId="0" applyNumberFormat="1">
      <alignment vertical="center"/>
    </xf>
    <xf numFmtId="3" fontId="9" fillId="0" borderId="14" xfId="2" applyNumberFormat="1" applyFont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>
      <alignment vertical="center"/>
    </xf>
    <xf numFmtId="41" fontId="12" fillId="0" borderId="0" xfId="1" applyFont="1">
      <alignment vertical="center"/>
    </xf>
    <xf numFmtId="41" fontId="9" fillId="0" borderId="38" xfId="1" applyFont="1" applyBorder="1" applyAlignment="1">
      <alignment horizontal="left" vertical="center"/>
    </xf>
    <xf numFmtId="41" fontId="9" fillId="0" borderId="20" xfId="1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47" xfId="2" applyFont="1" applyBorder="1" applyAlignment="1">
      <alignment horizontal="left" vertical="center"/>
    </xf>
    <xf numFmtId="0" fontId="9" fillId="0" borderId="41" xfId="2" applyFont="1" applyBorder="1">
      <alignment vertical="center"/>
    </xf>
    <xf numFmtId="0" fontId="9" fillId="0" borderId="65" xfId="2" applyFont="1" applyBorder="1">
      <alignment vertical="center"/>
    </xf>
    <xf numFmtId="3" fontId="17" fillId="0" borderId="0" xfId="0" applyNumberFormat="1" applyFont="1">
      <alignment vertical="center"/>
    </xf>
    <xf numFmtId="3" fontId="18" fillId="0" borderId="0" xfId="0" applyNumberFormat="1" applyFont="1">
      <alignment vertical="center"/>
    </xf>
    <xf numFmtId="3" fontId="15" fillId="0" borderId="0" xfId="0" applyNumberFormat="1" applyFont="1" applyAlignment="1">
      <alignment horizontal="right" vertical="center"/>
    </xf>
    <xf numFmtId="41" fontId="9" fillId="0" borderId="38" xfId="1" applyFont="1" applyBorder="1">
      <alignment vertical="center"/>
    </xf>
    <xf numFmtId="0" fontId="10" fillId="0" borderId="0" xfId="0" applyFont="1" applyAlignment="1">
      <alignment horizontal="left" vertical="center"/>
    </xf>
    <xf numFmtId="41" fontId="10" fillId="0" borderId="0" xfId="1" applyFont="1" applyFill="1" applyAlignment="1">
      <alignment horizontal="left" vertical="center"/>
    </xf>
    <xf numFmtId="41" fontId="3" fillId="0" borderId="0" xfId="0" applyNumberFormat="1" applyFont="1">
      <alignment vertical="center"/>
    </xf>
    <xf numFmtId="3" fontId="1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1" fontId="9" fillId="0" borderId="37" xfId="1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62" xfId="2" applyFont="1" applyBorder="1">
      <alignment vertical="center"/>
    </xf>
    <xf numFmtId="0" fontId="9" fillId="0" borderId="39" xfId="2" applyFont="1" applyBorder="1">
      <alignment vertical="center"/>
    </xf>
    <xf numFmtId="0" fontId="9" fillId="0" borderId="0" xfId="0" applyFont="1" applyAlignment="1">
      <alignment horizontal="center" vertical="center"/>
    </xf>
    <xf numFmtId="41" fontId="9" fillId="0" borderId="0" xfId="0" applyNumberFormat="1" applyFont="1" applyAlignment="1">
      <alignment horizontal="right" vertical="center"/>
    </xf>
    <xf numFmtId="41" fontId="9" fillId="0" borderId="66" xfId="0" applyNumberFormat="1" applyFont="1" applyBorder="1">
      <alignment vertical="center"/>
    </xf>
    <xf numFmtId="3" fontId="9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3" fontId="8" fillId="0" borderId="0" xfId="1" applyNumberFormat="1" applyFont="1" applyFill="1" applyBorder="1" applyAlignment="1">
      <alignment horizontal="right" vertical="center"/>
    </xf>
    <xf numFmtId="41" fontId="9" fillId="0" borderId="0" xfId="0" applyNumberFormat="1" applyFont="1">
      <alignment vertical="center"/>
    </xf>
    <xf numFmtId="3" fontId="8" fillId="0" borderId="32" xfId="0" applyNumberFormat="1" applyFont="1" applyBorder="1" applyAlignment="1">
      <alignment horizontal="center" vertical="center"/>
    </xf>
    <xf numFmtId="3" fontId="8" fillId="0" borderId="10" xfId="1" applyNumberFormat="1" applyFont="1" applyFill="1" applyBorder="1" applyAlignment="1">
      <alignment horizontal="right" vertical="center"/>
    </xf>
    <xf numFmtId="3" fontId="8" fillId="0" borderId="29" xfId="1" applyNumberFormat="1" applyFont="1" applyFill="1" applyBorder="1" applyAlignment="1">
      <alignment vertical="center"/>
    </xf>
    <xf numFmtId="0" fontId="9" fillId="0" borderId="39" xfId="0" applyFont="1" applyBorder="1" applyAlignment="1">
      <alignment vertical="center" shrinkToFit="1"/>
    </xf>
    <xf numFmtId="3" fontId="8" fillId="0" borderId="20" xfId="1" applyNumberFormat="1" applyFont="1" applyFill="1" applyBorder="1" applyAlignment="1">
      <alignment vertical="center"/>
    </xf>
    <xf numFmtId="0" fontId="9" fillId="0" borderId="14" xfId="0" applyFont="1" applyBorder="1" applyAlignment="1">
      <alignment vertical="center" shrinkToFit="1"/>
    </xf>
    <xf numFmtId="3" fontId="9" fillId="0" borderId="20" xfId="1" applyNumberFormat="1" applyFont="1" applyFill="1" applyBorder="1" applyAlignment="1">
      <alignment vertical="center"/>
    </xf>
    <xf numFmtId="3" fontId="9" fillId="0" borderId="29" xfId="1" applyNumberFormat="1" applyFont="1" applyFill="1" applyBorder="1" applyAlignment="1">
      <alignment vertical="center"/>
    </xf>
    <xf numFmtId="3" fontId="9" fillId="0" borderId="38" xfId="0" applyNumberFormat="1" applyFont="1" applyBorder="1">
      <alignment vertical="center"/>
    </xf>
    <xf numFmtId="0" fontId="9" fillId="0" borderId="21" xfId="0" applyFont="1" applyBorder="1" applyAlignment="1">
      <alignment vertical="center" shrinkToFit="1"/>
    </xf>
    <xf numFmtId="3" fontId="9" fillId="0" borderId="37" xfId="0" applyNumberFormat="1" applyFont="1" applyBorder="1">
      <alignment vertical="center"/>
    </xf>
    <xf numFmtId="3" fontId="9" fillId="0" borderId="37" xfId="1" applyNumberFormat="1" applyFont="1" applyFill="1" applyBorder="1" applyAlignment="1">
      <alignment vertical="center"/>
    </xf>
    <xf numFmtId="3" fontId="8" fillId="0" borderId="20" xfId="0" applyNumberFormat="1" applyFont="1" applyBorder="1">
      <alignment vertical="center"/>
    </xf>
    <xf numFmtId="3" fontId="9" fillId="0" borderId="38" xfId="1" applyNumberFormat="1" applyFont="1" applyFill="1" applyBorder="1" applyAlignment="1">
      <alignment vertical="center"/>
    </xf>
    <xf numFmtId="0" fontId="9" fillId="0" borderId="46" xfId="0" applyFont="1" applyBorder="1" applyAlignment="1">
      <alignment vertical="center" shrinkToFit="1"/>
    </xf>
    <xf numFmtId="3" fontId="8" fillId="0" borderId="43" xfId="1" applyNumberFormat="1" applyFont="1" applyFill="1" applyBorder="1" applyAlignment="1">
      <alignment vertical="center"/>
    </xf>
    <xf numFmtId="0" fontId="9" fillId="0" borderId="73" xfId="0" applyFont="1" applyBorder="1" applyAlignment="1">
      <alignment vertical="center" shrinkToFit="1"/>
    </xf>
    <xf numFmtId="0" fontId="9" fillId="0" borderId="46" xfId="0" applyFont="1" applyBorder="1" applyAlignment="1">
      <alignment vertical="center" wrapText="1" shrinkToFit="1"/>
    </xf>
    <xf numFmtId="0" fontId="9" fillId="0" borderId="0" xfId="0" applyFont="1" applyAlignment="1">
      <alignment vertical="center" wrapText="1" shrinkToFit="1"/>
    </xf>
    <xf numFmtId="3" fontId="9" fillId="0" borderId="47" xfId="1" applyNumberFormat="1" applyFont="1" applyFill="1" applyBorder="1" applyAlignment="1">
      <alignment vertical="center"/>
    </xf>
    <xf numFmtId="0" fontId="9" fillId="0" borderId="42" xfId="0" applyFont="1" applyBorder="1" applyAlignment="1">
      <alignment vertical="center" wrapText="1" shrinkToFit="1"/>
    </xf>
    <xf numFmtId="3" fontId="9" fillId="0" borderId="0" xfId="0" applyNumberFormat="1" applyFont="1">
      <alignment vertical="center"/>
    </xf>
    <xf numFmtId="0" fontId="9" fillId="0" borderId="0" xfId="0" applyFont="1">
      <alignment vertical="center"/>
    </xf>
    <xf numFmtId="41" fontId="9" fillId="0" borderId="0" xfId="1" applyFont="1" applyFill="1">
      <alignment vertical="center"/>
    </xf>
    <xf numFmtId="41" fontId="3" fillId="0" borderId="0" xfId="1" applyFont="1" applyFill="1">
      <alignment vertical="center"/>
    </xf>
    <xf numFmtId="0" fontId="8" fillId="0" borderId="32" xfId="0" applyFont="1" applyBorder="1" applyAlignment="1">
      <alignment horizontal="center" vertical="center"/>
    </xf>
    <xf numFmtId="41" fontId="9" fillId="0" borderId="71" xfId="1" applyFont="1" applyFill="1" applyBorder="1">
      <alignment vertical="center"/>
    </xf>
    <xf numFmtId="41" fontId="9" fillId="0" borderId="53" xfId="1" applyFont="1" applyFill="1" applyBorder="1">
      <alignment vertical="center"/>
    </xf>
    <xf numFmtId="41" fontId="9" fillId="0" borderId="55" xfId="1" applyFont="1" applyFill="1" applyBorder="1">
      <alignment vertical="center"/>
    </xf>
    <xf numFmtId="41" fontId="9" fillId="0" borderId="57" xfId="1" applyFont="1" applyFill="1" applyBorder="1">
      <alignment vertical="center"/>
    </xf>
    <xf numFmtId="0" fontId="9" fillId="0" borderId="45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41" fontId="9" fillId="0" borderId="52" xfId="1" applyFont="1" applyFill="1" applyBorder="1">
      <alignment vertical="center"/>
    </xf>
    <xf numFmtId="0" fontId="9" fillId="0" borderId="47" xfId="0" applyFont="1" applyBorder="1" applyAlignment="1">
      <alignment horizontal="center" vertical="center"/>
    </xf>
    <xf numFmtId="41" fontId="9" fillId="0" borderId="74" xfId="1" applyFont="1" applyFill="1" applyBorder="1">
      <alignment vertical="center"/>
    </xf>
    <xf numFmtId="43" fontId="3" fillId="0" borderId="0" xfId="1" applyNumberFormat="1" applyFont="1" applyFill="1">
      <alignment vertical="center"/>
    </xf>
    <xf numFmtId="0" fontId="9" fillId="0" borderId="16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41" fontId="9" fillId="0" borderId="60" xfId="1" applyFont="1" applyFill="1" applyBorder="1">
      <alignment vertical="center"/>
    </xf>
    <xf numFmtId="3" fontId="9" fillId="0" borderId="0" xfId="1" applyNumberFormat="1" applyFont="1" applyFill="1" applyBorder="1" applyAlignment="1">
      <alignment vertical="center"/>
    </xf>
    <xf numFmtId="3" fontId="21" fillId="0" borderId="0" xfId="0" applyNumberFormat="1" applyFont="1">
      <alignment vertical="center"/>
    </xf>
    <xf numFmtId="3" fontId="22" fillId="0" borderId="10" xfId="1" applyNumberFormat="1" applyFont="1" applyFill="1" applyBorder="1" applyAlignment="1">
      <alignment horizontal="right" vertical="center"/>
    </xf>
    <xf numFmtId="3" fontId="9" fillId="0" borderId="39" xfId="0" applyNumberFormat="1" applyFont="1" applyBorder="1" applyAlignment="1">
      <alignment vertical="center" wrapText="1"/>
    </xf>
    <xf numFmtId="3" fontId="22" fillId="0" borderId="20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9" fillId="0" borderId="14" xfId="0" applyNumberFormat="1" applyFont="1" applyBorder="1" applyAlignment="1">
      <alignment vertical="center" wrapText="1"/>
    </xf>
    <xf numFmtId="3" fontId="21" fillId="0" borderId="20" xfId="1" applyNumberFormat="1" applyFont="1" applyFill="1" applyBorder="1" applyAlignment="1">
      <alignment horizontal="right" vertical="center"/>
    </xf>
    <xf numFmtId="3" fontId="9" fillId="0" borderId="20" xfId="1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vertical="center" wrapText="1"/>
    </xf>
    <xf numFmtId="3" fontId="21" fillId="0" borderId="38" xfId="1" applyNumberFormat="1" applyFont="1" applyFill="1" applyBorder="1" applyAlignment="1">
      <alignment horizontal="right" vertical="center"/>
    </xf>
    <xf numFmtId="0" fontId="9" fillId="0" borderId="21" xfId="0" applyFont="1" applyBorder="1" applyAlignment="1">
      <alignment vertical="center" wrapText="1"/>
    </xf>
    <xf numFmtId="3" fontId="21" fillId="0" borderId="37" xfId="1" applyNumberFormat="1" applyFont="1" applyFill="1" applyBorder="1" applyAlignment="1">
      <alignment horizontal="right" vertical="center"/>
    </xf>
    <xf numFmtId="3" fontId="8" fillId="0" borderId="37" xfId="1" applyNumberFormat="1" applyFont="1" applyFill="1" applyBorder="1" applyAlignment="1">
      <alignment horizontal="right" vertical="center"/>
    </xf>
    <xf numFmtId="3" fontId="21" fillId="0" borderId="47" xfId="1" applyNumberFormat="1" applyFont="1" applyFill="1" applyBorder="1" applyAlignment="1">
      <alignment horizontal="right" vertical="center"/>
    </xf>
    <xf numFmtId="3" fontId="8" fillId="0" borderId="47" xfId="1" applyNumberFormat="1" applyFont="1" applyFill="1" applyBorder="1" applyAlignment="1">
      <alignment horizontal="right" vertical="center"/>
    </xf>
    <xf numFmtId="0" fontId="9" fillId="0" borderId="41" xfId="0" applyFont="1" applyBorder="1" applyAlignment="1">
      <alignment vertical="center" shrinkToFit="1"/>
    </xf>
    <xf numFmtId="3" fontId="9" fillId="0" borderId="38" xfId="1" applyNumberFormat="1" applyFont="1" applyFill="1" applyBorder="1" applyAlignment="1">
      <alignment horizontal="right" vertical="center"/>
    </xf>
    <xf numFmtId="49" fontId="9" fillId="0" borderId="46" xfId="0" applyNumberFormat="1" applyFont="1" applyBorder="1" applyAlignment="1">
      <alignment vertical="center" shrinkToFit="1"/>
    </xf>
    <xf numFmtId="3" fontId="8" fillId="0" borderId="29" xfId="1" applyNumberFormat="1" applyFont="1" applyFill="1" applyBorder="1" applyAlignment="1">
      <alignment horizontal="right" vertical="center"/>
    </xf>
    <xf numFmtId="3" fontId="9" fillId="0" borderId="29" xfId="1" applyNumberFormat="1" applyFont="1" applyFill="1" applyBorder="1" applyAlignment="1">
      <alignment horizontal="right" vertical="center"/>
    </xf>
    <xf numFmtId="3" fontId="21" fillId="0" borderId="29" xfId="1" applyNumberFormat="1" applyFont="1" applyFill="1" applyBorder="1" applyAlignment="1">
      <alignment horizontal="right" vertical="center"/>
    </xf>
    <xf numFmtId="3" fontId="9" fillId="0" borderId="47" xfId="1" applyNumberFormat="1" applyFont="1" applyFill="1" applyBorder="1" applyAlignment="1">
      <alignment horizontal="right" vertical="center"/>
    </xf>
    <xf numFmtId="3" fontId="9" fillId="0" borderId="37" xfId="1" applyNumberFormat="1" applyFont="1" applyFill="1" applyBorder="1" applyAlignment="1">
      <alignment horizontal="right" vertical="center"/>
    </xf>
    <xf numFmtId="0" fontId="9" fillId="0" borderId="46" xfId="0" applyFont="1" applyBorder="1" applyAlignment="1">
      <alignment horizontal="left" vertical="center" shrinkToFit="1"/>
    </xf>
    <xf numFmtId="3" fontId="9" fillId="0" borderId="46" xfId="0" applyNumberFormat="1" applyFont="1" applyBorder="1" applyAlignment="1">
      <alignment vertical="center" shrinkToFit="1"/>
    </xf>
    <xf numFmtId="3" fontId="22" fillId="0" borderId="29" xfId="1" applyNumberFormat="1" applyFont="1" applyFill="1" applyBorder="1" applyAlignment="1">
      <alignment horizontal="right" vertical="center"/>
    </xf>
    <xf numFmtId="3" fontId="9" fillId="0" borderId="21" xfId="0" applyNumberFormat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46" xfId="0" applyFont="1" applyBorder="1" applyAlignment="1">
      <alignment vertical="center" wrapText="1"/>
    </xf>
    <xf numFmtId="3" fontId="21" fillId="0" borderId="13" xfId="1" applyNumberFormat="1" applyFont="1" applyFill="1" applyBorder="1" applyAlignment="1">
      <alignment horizontal="right" vertical="center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39" xfId="0" applyNumberFormat="1" applyFont="1" applyBorder="1" applyAlignment="1">
      <alignment vertical="center" shrinkToFit="1"/>
    </xf>
    <xf numFmtId="0" fontId="9" fillId="0" borderId="44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0" fontId="9" fillId="0" borderId="38" xfId="0" applyFont="1" applyBorder="1" applyAlignment="1">
      <alignment horizontal="left" vertical="center" shrinkToFit="1"/>
    </xf>
    <xf numFmtId="3" fontId="9" fillId="0" borderId="46" xfId="1" applyNumberFormat="1" applyFont="1" applyFill="1" applyBorder="1" applyAlignment="1">
      <alignment horizontal="right" vertical="center"/>
    </xf>
    <xf numFmtId="0" fontId="9" fillId="0" borderId="36" xfId="0" applyFont="1" applyBorder="1" applyAlignment="1">
      <alignment horizontal="left" vertical="center"/>
    </xf>
    <xf numFmtId="0" fontId="9" fillId="0" borderId="44" xfId="0" applyFont="1" applyBorder="1">
      <alignment vertical="center"/>
    </xf>
    <xf numFmtId="41" fontId="9" fillId="0" borderId="44" xfId="1" applyFont="1" applyFill="1" applyBorder="1">
      <alignment vertical="center"/>
    </xf>
    <xf numFmtId="0" fontId="9" fillId="0" borderId="62" xfId="0" applyFont="1" applyBorder="1" applyAlignment="1">
      <alignment horizontal="left" vertical="center"/>
    </xf>
    <xf numFmtId="41" fontId="8" fillId="0" borderId="52" xfId="1" applyFont="1" applyFill="1" applyBorder="1">
      <alignment vertical="center"/>
    </xf>
    <xf numFmtId="3" fontId="9" fillId="0" borderId="57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7" xfId="0" applyFont="1" applyBorder="1" applyAlignment="1">
      <alignment vertical="center" wrapText="1"/>
    </xf>
    <xf numFmtId="0" fontId="9" fillId="0" borderId="13" xfId="0" applyFont="1" applyBorder="1">
      <alignment vertical="center"/>
    </xf>
    <xf numFmtId="0" fontId="9" fillId="0" borderId="37" xfId="0" applyFont="1" applyBorder="1" applyAlignment="1">
      <alignment vertical="center" shrinkToFit="1"/>
    </xf>
    <xf numFmtId="0" fontId="9" fillId="0" borderId="37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38" xfId="0" applyFont="1" applyBorder="1">
      <alignment vertical="center"/>
    </xf>
    <xf numFmtId="0" fontId="9" fillId="0" borderId="64" xfId="0" applyFont="1" applyBorder="1" applyAlignment="1">
      <alignment horizontal="left" vertical="center"/>
    </xf>
    <xf numFmtId="0" fontId="9" fillId="0" borderId="47" xfId="0" applyFont="1" applyBorder="1">
      <alignment vertical="center"/>
    </xf>
    <xf numFmtId="41" fontId="9" fillId="0" borderId="0" xfId="2" applyNumberFormat="1" applyFont="1">
      <alignment vertical="center"/>
    </xf>
    <xf numFmtId="0" fontId="6" fillId="0" borderId="12" xfId="6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0" fontId="9" fillId="0" borderId="46" xfId="0" applyFont="1" applyBorder="1">
      <alignment vertical="center"/>
    </xf>
    <xf numFmtId="4" fontId="19" fillId="0" borderId="39" xfId="7" applyNumberFormat="1" applyFont="1" applyFill="1" applyBorder="1" applyAlignment="1">
      <alignment horizontal="right" vertical="center"/>
    </xf>
    <xf numFmtId="4" fontId="20" fillId="0" borderId="39" xfId="7" applyNumberFormat="1" applyFont="1" applyFill="1" applyBorder="1" applyAlignment="1">
      <alignment horizontal="right" vertical="center"/>
    </xf>
    <xf numFmtId="4" fontId="20" fillId="0" borderId="46" xfId="7" applyNumberFormat="1" applyFont="1" applyFill="1" applyBorder="1" applyAlignment="1">
      <alignment horizontal="right" vertical="center"/>
    </xf>
    <xf numFmtId="3" fontId="20" fillId="0" borderId="37" xfId="7" applyNumberFormat="1" applyFont="1" applyFill="1" applyBorder="1" applyAlignment="1">
      <alignment horizontal="right" vertical="center"/>
    </xf>
    <xf numFmtId="3" fontId="20" fillId="0" borderId="38" xfId="7" applyNumberFormat="1" applyFont="1" applyFill="1" applyBorder="1" applyAlignment="1">
      <alignment horizontal="right" vertical="center"/>
    </xf>
    <xf numFmtId="3" fontId="20" fillId="0" borderId="39" xfId="1" applyNumberFormat="1" applyFont="1" applyFill="1" applyBorder="1" applyAlignment="1">
      <alignment horizontal="right" vertical="center"/>
    </xf>
    <xf numFmtId="3" fontId="20" fillId="0" borderId="46" xfId="1" applyNumberFormat="1" applyFont="1" applyFill="1" applyBorder="1" applyAlignment="1">
      <alignment horizontal="right" vertical="center"/>
    </xf>
    <xf numFmtId="3" fontId="20" fillId="0" borderId="29" xfId="1" applyNumberFormat="1" applyFont="1" applyFill="1" applyBorder="1" applyAlignment="1">
      <alignment horizontal="right" vertical="center"/>
    </xf>
    <xf numFmtId="4" fontId="10" fillId="0" borderId="0" xfId="1" applyNumberFormat="1" applyFont="1" applyAlignment="1">
      <alignment horizontal="left" vertical="center"/>
    </xf>
    <xf numFmtId="4" fontId="9" fillId="0" borderId="0" xfId="1" applyNumberFormat="1" applyFont="1">
      <alignment vertical="center"/>
    </xf>
    <xf numFmtId="4" fontId="8" fillId="0" borderId="32" xfId="1" applyNumberFormat="1" applyFont="1" applyBorder="1" applyAlignment="1">
      <alignment horizontal="center" vertical="center"/>
    </xf>
    <xf numFmtId="4" fontId="19" fillId="0" borderId="39" xfId="1" applyNumberFormat="1" applyFont="1" applyFill="1" applyBorder="1" applyAlignment="1">
      <alignment horizontal="right" vertical="center"/>
    </xf>
    <xf numFmtId="4" fontId="20" fillId="0" borderId="39" xfId="1" applyNumberFormat="1" applyFont="1" applyFill="1" applyBorder="1" applyAlignment="1">
      <alignment horizontal="right" vertical="center"/>
    </xf>
    <xf numFmtId="4" fontId="20" fillId="0" borderId="46" xfId="1" applyNumberFormat="1" applyFont="1" applyFill="1" applyBorder="1" applyAlignment="1">
      <alignment horizontal="right" vertical="center"/>
    </xf>
    <xf numFmtId="4" fontId="20" fillId="0" borderId="29" xfId="1" applyNumberFormat="1" applyFont="1" applyFill="1" applyBorder="1" applyAlignment="1">
      <alignment horizontal="right" vertical="center"/>
    </xf>
    <xf numFmtId="4" fontId="20" fillId="0" borderId="20" xfId="1" applyNumberFormat="1" applyFont="1" applyFill="1" applyBorder="1" applyAlignment="1">
      <alignment horizontal="right" vertical="center"/>
    </xf>
    <xf numFmtId="4" fontId="20" fillId="0" borderId="37" xfId="1" applyNumberFormat="1" applyFont="1" applyFill="1" applyBorder="1" applyAlignment="1">
      <alignment horizontal="right" vertical="center"/>
    </xf>
    <xf numFmtId="4" fontId="19" fillId="0" borderId="43" xfId="1" applyNumberFormat="1" applyFont="1" applyFill="1" applyBorder="1" applyAlignment="1">
      <alignment horizontal="right" vertical="center"/>
    </xf>
    <xf numFmtId="4" fontId="20" fillId="0" borderId="38" xfId="1" applyNumberFormat="1" applyFont="1" applyFill="1" applyBorder="1" applyAlignment="1">
      <alignment horizontal="right" vertical="center"/>
    </xf>
    <xf numFmtId="4" fontId="19" fillId="0" borderId="14" xfId="1" applyNumberFormat="1" applyFont="1" applyFill="1" applyBorder="1" applyAlignment="1">
      <alignment horizontal="right" vertical="center"/>
    </xf>
    <xf numFmtId="4" fontId="20" fillId="0" borderId="47" xfId="1" applyNumberFormat="1" applyFont="1" applyFill="1" applyBorder="1" applyAlignment="1">
      <alignment horizontal="right" vertical="center"/>
    </xf>
    <xf numFmtId="4" fontId="3" fillId="0" borderId="0" xfId="1" applyNumberFormat="1" applyFont="1">
      <alignment vertical="center"/>
    </xf>
    <xf numFmtId="4" fontId="12" fillId="0" borderId="0" xfId="0" applyNumberFormat="1" applyFont="1" applyAlignment="1">
      <alignment horizontal="right" vertical="center"/>
    </xf>
    <xf numFmtId="4" fontId="9" fillId="0" borderId="0" xfId="0" applyNumberFormat="1" applyFont="1">
      <alignment vertical="center"/>
    </xf>
    <xf numFmtId="4" fontId="8" fillId="0" borderId="32" xfId="0" applyNumberFormat="1" applyFont="1" applyBorder="1" applyAlignment="1">
      <alignment horizontal="center" vertical="center"/>
    </xf>
    <xf numFmtId="4" fontId="20" fillId="0" borderId="38" xfId="7" applyNumberFormat="1" applyFont="1" applyFill="1" applyBorder="1" applyAlignment="1">
      <alignment horizontal="right" vertical="center"/>
    </xf>
    <xf numFmtId="4" fontId="9" fillId="0" borderId="37" xfId="1" applyNumberFormat="1" applyFont="1" applyFill="1" applyBorder="1" applyAlignment="1">
      <alignment horizontal="right" vertical="center"/>
    </xf>
    <xf numFmtId="4" fontId="9" fillId="0" borderId="48" xfId="1" applyNumberFormat="1" applyFont="1" applyFill="1" applyBorder="1" applyAlignment="1">
      <alignment horizontal="right" vertical="center"/>
    </xf>
    <xf numFmtId="4" fontId="9" fillId="0" borderId="47" xfId="1" applyNumberFormat="1" applyFont="1" applyFill="1" applyBorder="1" applyAlignment="1">
      <alignment horizontal="right" vertical="center"/>
    </xf>
    <xf numFmtId="4" fontId="20" fillId="0" borderId="37" xfId="7" applyNumberFormat="1" applyFont="1" applyFill="1" applyBorder="1" applyAlignment="1">
      <alignment horizontal="right" vertical="center"/>
    </xf>
    <xf numFmtId="4" fontId="9" fillId="0" borderId="46" xfId="1" applyNumberFormat="1" applyFont="1" applyFill="1" applyBorder="1" applyAlignment="1">
      <alignment horizontal="right" vertical="center"/>
    </xf>
    <xf numFmtId="4" fontId="9" fillId="0" borderId="29" xfId="1" applyNumberFormat="1" applyFont="1" applyFill="1" applyBorder="1" applyAlignment="1">
      <alignment horizontal="right" vertical="center"/>
    </xf>
    <xf numFmtId="4" fontId="20" fillId="0" borderId="41" xfId="7" applyNumberFormat="1" applyFont="1" applyFill="1" applyBorder="1" applyAlignment="1">
      <alignment horizontal="right" vertical="center"/>
    </xf>
    <xf numFmtId="4" fontId="20" fillId="0" borderId="29" xfId="7" applyNumberFormat="1" applyFont="1" applyFill="1" applyBorder="1" applyAlignment="1">
      <alignment horizontal="right" vertical="center"/>
    </xf>
    <xf numFmtId="4" fontId="19" fillId="0" borderId="29" xfId="7" applyNumberFormat="1" applyFont="1" applyFill="1" applyBorder="1" applyAlignment="1">
      <alignment horizontal="right" vertical="center"/>
    </xf>
    <xf numFmtId="4" fontId="19" fillId="0" borderId="20" xfId="7" applyNumberFormat="1" applyFont="1" applyFill="1" applyBorder="1" applyAlignment="1">
      <alignment horizontal="right" vertical="center"/>
    </xf>
    <xf numFmtId="4" fontId="20" fillId="0" borderId="20" xfId="7" applyNumberFormat="1" applyFont="1" applyFill="1" applyBorder="1" applyAlignment="1">
      <alignment horizontal="right" vertical="center"/>
    </xf>
    <xf numFmtId="4" fontId="19" fillId="0" borderId="37" xfId="7" applyNumberFormat="1" applyFont="1" applyFill="1" applyBorder="1" applyAlignment="1">
      <alignment horizontal="right" vertical="center"/>
    </xf>
    <xf numFmtId="4" fontId="3" fillId="0" borderId="0" xfId="0" applyNumberFormat="1" applyFont="1">
      <alignment vertical="center"/>
    </xf>
    <xf numFmtId="3" fontId="9" fillId="0" borderId="38" xfId="2" applyNumberFormat="1" applyFont="1" applyBorder="1">
      <alignment vertical="center"/>
    </xf>
    <xf numFmtId="3" fontId="9" fillId="0" borderId="14" xfId="0" applyNumberFormat="1" applyFont="1" applyBorder="1" applyAlignment="1">
      <alignment vertical="center" shrinkToFit="1"/>
    </xf>
    <xf numFmtId="0" fontId="9" fillId="0" borderId="29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3" fontId="9" fillId="0" borderId="40" xfId="2" applyNumberFormat="1" applyFont="1" applyBorder="1" applyAlignment="1">
      <alignment horizontal="left" vertical="center"/>
    </xf>
    <xf numFmtId="3" fontId="9" fillId="0" borderId="50" xfId="2" applyNumberFormat="1" applyFont="1" applyBorder="1" applyAlignment="1">
      <alignment horizontal="left" vertical="center"/>
    </xf>
    <xf numFmtId="41" fontId="9" fillId="0" borderId="38" xfId="1" applyFont="1" applyBorder="1" applyAlignment="1">
      <alignment horizontal="right" vertical="center"/>
    </xf>
    <xf numFmtId="41" fontId="8" fillId="0" borderId="10" xfId="1" applyFont="1" applyBorder="1" applyAlignment="1">
      <alignment horizontal="right" vertical="center"/>
    </xf>
    <xf numFmtId="41" fontId="8" fillId="0" borderId="29" xfId="1" applyFont="1" applyBorder="1" applyAlignment="1">
      <alignment horizontal="right" vertical="center"/>
    </xf>
    <xf numFmtId="0" fontId="9" fillId="0" borderId="38" xfId="1" applyNumberFormat="1" applyFont="1" applyBorder="1" applyAlignment="1">
      <alignment horizontal="left" vertical="center"/>
    </xf>
    <xf numFmtId="41" fontId="9" fillId="0" borderId="42" xfId="1" applyFont="1" applyBorder="1" applyAlignment="1">
      <alignment horizontal="right" vertical="center"/>
    </xf>
    <xf numFmtId="41" fontId="9" fillId="0" borderId="63" xfId="1" applyFont="1" applyBorder="1" applyAlignment="1">
      <alignment horizontal="center" vertical="center" wrapText="1"/>
    </xf>
    <xf numFmtId="41" fontId="9" fillId="0" borderId="0" xfId="1" applyFont="1" applyAlignment="1">
      <alignment horizontal="right" vertical="center"/>
    </xf>
    <xf numFmtId="41" fontId="9" fillId="0" borderId="35" xfId="1" applyFont="1" applyBorder="1" applyAlignment="1">
      <alignment horizontal="right" vertical="center"/>
    </xf>
    <xf numFmtId="176" fontId="8" fillId="0" borderId="57" xfId="1" applyNumberFormat="1" applyFont="1" applyBorder="1" applyAlignment="1">
      <alignment horizontal="center" vertical="center"/>
    </xf>
    <xf numFmtId="176" fontId="9" fillId="0" borderId="60" xfId="1" applyNumberFormat="1" applyFont="1" applyBorder="1" applyAlignment="1">
      <alignment horizontal="right" vertical="center"/>
    </xf>
    <xf numFmtId="176" fontId="9" fillId="0" borderId="69" xfId="1" applyNumberFormat="1" applyFont="1" applyBorder="1" applyAlignment="1">
      <alignment horizontal="center" vertical="center"/>
    </xf>
    <xf numFmtId="176" fontId="8" fillId="0" borderId="52" xfId="1" applyNumberFormat="1" applyFont="1" applyBorder="1" applyAlignment="1">
      <alignment horizontal="right" vertical="center"/>
    </xf>
    <xf numFmtId="176" fontId="9" fillId="0" borderId="52" xfId="1" applyNumberFormat="1" applyFont="1" applyBorder="1" applyAlignment="1">
      <alignment horizontal="right" vertical="center"/>
    </xf>
    <xf numFmtId="176" fontId="9" fillId="0" borderId="53" xfId="1" applyNumberFormat="1" applyFont="1" applyBorder="1" applyAlignment="1">
      <alignment horizontal="right" vertical="center"/>
    </xf>
    <xf numFmtId="176" fontId="9" fillId="0" borderId="53" xfId="1" applyNumberFormat="1" applyFont="1" applyBorder="1" applyAlignment="1">
      <alignment horizontal="left" vertical="center"/>
    </xf>
    <xf numFmtId="176" fontId="9" fillId="0" borderId="57" xfId="1" applyNumberFormat="1" applyFont="1" applyBorder="1" applyAlignment="1">
      <alignment horizontal="right" vertical="center"/>
    </xf>
    <xf numFmtId="176" fontId="9" fillId="0" borderId="15" xfId="1" quotePrefix="1" applyNumberFormat="1" applyFont="1" applyBorder="1" applyAlignment="1">
      <alignment horizontal="right" vertical="center"/>
    </xf>
    <xf numFmtId="176" fontId="9" fillId="0" borderId="0" xfId="1" quotePrefix="1" applyNumberFormat="1" applyFont="1" applyAlignment="1">
      <alignment horizontal="right" vertical="center"/>
    </xf>
    <xf numFmtId="176" fontId="3" fillId="0" borderId="0" xfId="1" applyNumberFormat="1" applyFont="1">
      <alignment vertical="center"/>
    </xf>
    <xf numFmtId="176" fontId="9" fillId="0" borderId="15" xfId="1" quotePrefix="1" applyNumberFormat="1" applyFont="1" applyBorder="1" applyAlignment="1">
      <alignment vertical="center"/>
    </xf>
    <xf numFmtId="176" fontId="9" fillId="0" borderId="30" xfId="1" quotePrefix="1" applyNumberFormat="1" applyFont="1" applyBorder="1" applyAlignment="1">
      <alignment vertical="center"/>
    </xf>
    <xf numFmtId="0" fontId="9" fillId="0" borderId="14" xfId="1" applyNumberFormat="1" applyFont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41" fontId="8" fillId="0" borderId="0" xfId="1" applyFont="1" applyBorder="1" applyAlignment="1">
      <alignment horizontal="center" vertical="center"/>
    </xf>
    <xf numFmtId="3" fontId="8" fillId="0" borderId="0" xfId="2" applyNumberFormat="1" applyFont="1" applyBorder="1" applyAlignment="1">
      <alignment horizontal="center" vertical="center"/>
    </xf>
    <xf numFmtId="0" fontId="9" fillId="0" borderId="64" xfId="2" applyFont="1" applyBorder="1" applyAlignment="1">
      <alignment vertical="center" shrinkToFit="1"/>
    </xf>
    <xf numFmtId="0" fontId="9" fillId="0" borderId="47" xfId="2" applyFont="1" applyBorder="1">
      <alignment vertical="center"/>
    </xf>
    <xf numFmtId="0" fontId="9" fillId="0" borderId="49" xfId="1" applyNumberFormat="1" applyFont="1" applyBorder="1" applyAlignment="1">
      <alignment horizontal="left" vertical="center"/>
    </xf>
    <xf numFmtId="176" fontId="9" fillId="0" borderId="54" xfId="1" applyNumberFormat="1" applyFont="1" applyBorder="1" applyAlignment="1">
      <alignment horizontal="left" vertical="center"/>
    </xf>
    <xf numFmtId="176" fontId="9" fillId="0" borderId="22" xfId="1" applyNumberFormat="1" applyFont="1" applyBorder="1">
      <alignment vertical="center"/>
    </xf>
    <xf numFmtId="0" fontId="9" fillId="0" borderId="0" xfId="2" applyFont="1" applyBorder="1">
      <alignment vertical="center"/>
    </xf>
    <xf numFmtId="176" fontId="9" fillId="0" borderId="22" xfId="1" applyNumberFormat="1" applyFont="1" applyBorder="1" applyAlignment="1">
      <alignment horizontal="right" vertical="center"/>
    </xf>
    <xf numFmtId="176" fontId="9" fillId="0" borderId="22" xfId="1" applyNumberFormat="1" applyFont="1" applyBorder="1" applyAlignment="1">
      <alignment vertical="center"/>
    </xf>
    <xf numFmtId="176" fontId="9" fillId="0" borderId="15" xfId="1" applyNumberFormat="1" applyFont="1" applyBorder="1" applyAlignment="1">
      <alignment vertical="center"/>
    </xf>
    <xf numFmtId="41" fontId="8" fillId="0" borderId="57" xfId="1" applyFont="1" applyFill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3" fontId="9" fillId="0" borderId="40" xfId="2" applyNumberFormat="1" applyFont="1" applyBorder="1" applyAlignment="1">
      <alignment horizontal="left" vertical="center"/>
    </xf>
    <xf numFmtId="0" fontId="9" fillId="0" borderId="14" xfId="1" applyNumberFormat="1" applyFont="1" applyBorder="1" applyAlignment="1">
      <alignment horizontal="left" vertical="center"/>
    </xf>
    <xf numFmtId="3" fontId="9" fillId="0" borderId="47" xfId="0" applyNumberFormat="1" applyFont="1" applyBorder="1">
      <alignment vertical="center"/>
    </xf>
    <xf numFmtId="3" fontId="20" fillId="0" borderId="38" xfId="1" applyNumberFormat="1" applyFont="1" applyFill="1" applyBorder="1" applyAlignment="1">
      <alignment horizontal="right" vertical="center"/>
    </xf>
    <xf numFmtId="0" fontId="9" fillId="0" borderId="35" xfId="0" applyFont="1" applyBorder="1" applyAlignment="1">
      <alignment vertical="center" shrinkToFit="1"/>
    </xf>
    <xf numFmtId="3" fontId="20" fillId="0" borderId="47" xfId="1" applyNumberFormat="1" applyFont="1" applyFill="1" applyBorder="1" applyAlignment="1">
      <alignment horizontal="right" vertical="center"/>
    </xf>
    <xf numFmtId="0" fontId="9" fillId="0" borderId="6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61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72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2" xfId="0" applyFont="1" applyBorder="1" applyAlignment="1">
      <alignment horizontal="right" vertical="center"/>
    </xf>
    <xf numFmtId="0" fontId="6" fillId="0" borderId="42" xfId="0" applyFont="1" applyBorder="1">
      <alignment vertical="center"/>
    </xf>
    <xf numFmtId="0" fontId="8" fillId="0" borderId="72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 wrapText="1"/>
    </xf>
    <xf numFmtId="3" fontId="8" fillId="0" borderId="33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6" fillId="0" borderId="51" xfId="0" applyFont="1" applyBorder="1">
      <alignment vertical="center"/>
    </xf>
    <xf numFmtId="0" fontId="8" fillId="0" borderId="58" xfId="0" applyFont="1" applyBorder="1" applyAlignment="1">
      <alignment horizontal="center" vertical="center"/>
    </xf>
    <xf numFmtId="0" fontId="6" fillId="0" borderId="59" xfId="0" applyFont="1" applyBorder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1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3" fontId="9" fillId="0" borderId="14" xfId="2" applyNumberFormat="1" applyFont="1" applyBorder="1" applyAlignment="1">
      <alignment horizontal="left" vertical="center"/>
    </xf>
    <xf numFmtId="3" fontId="9" fillId="0" borderId="40" xfId="2" applyNumberFormat="1" applyFont="1" applyBorder="1" applyAlignment="1">
      <alignment horizontal="left" vertical="center"/>
    </xf>
    <xf numFmtId="3" fontId="9" fillId="0" borderId="53" xfId="2" applyNumberFormat="1" applyFont="1" applyBorder="1" applyAlignment="1">
      <alignment horizontal="left" vertical="center"/>
    </xf>
    <xf numFmtId="0" fontId="10" fillId="0" borderId="67" xfId="2" applyFont="1" applyBorder="1" applyAlignment="1">
      <alignment horizontal="center" vertical="center"/>
    </xf>
    <xf numFmtId="0" fontId="10" fillId="0" borderId="66" xfId="2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/>
    </xf>
    <xf numFmtId="0" fontId="9" fillId="0" borderId="62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14" xfId="1" applyNumberFormat="1" applyFont="1" applyBorder="1" applyAlignment="1">
      <alignment horizontal="left" vertical="center"/>
    </xf>
    <xf numFmtId="0" fontId="9" fillId="0" borderId="40" xfId="1" applyNumberFormat="1" applyFont="1" applyBorder="1" applyAlignment="1">
      <alignment horizontal="left" vertical="center"/>
    </xf>
    <xf numFmtId="0" fontId="9" fillId="0" borderId="53" xfId="1" applyNumberFormat="1" applyFont="1" applyBorder="1" applyAlignment="1">
      <alignment horizontal="left" vertical="center"/>
    </xf>
    <xf numFmtId="0" fontId="8" fillId="0" borderId="4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8" fillId="0" borderId="65" xfId="2" applyFont="1" applyBorder="1" applyAlignment="1">
      <alignment horizontal="left" vertical="center"/>
    </xf>
    <xf numFmtId="0" fontId="8" fillId="0" borderId="42" xfId="2" applyFont="1" applyBorder="1" applyAlignment="1">
      <alignment horizontal="left" vertical="center"/>
    </xf>
    <xf numFmtId="3" fontId="9" fillId="0" borderId="49" xfId="2" applyNumberFormat="1" applyFont="1" applyBorder="1" applyAlignment="1">
      <alignment horizontal="left" vertical="center"/>
    </xf>
    <xf numFmtId="3" fontId="9" fillId="0" borderId="50" xfId="2" applyNumberFormat="1" applyFont="1" applyBorder="1" applyAlignment="1">
      <alignment horizontal="left" vertical="center"/>
    </xf>
    <xf numFmtId="3" fontId="9" fillId="0" borderId="54" xfId="2" applyNumberFormat="1" applyFont="1" applyBorder="1" applyAlignment="1">
      <alignment horizontal="left" vertical="center"/>
    </xf>
  </cellXfs>
  <cellStyles count="8">
    <cellStyle name="백분율" xfId="7" builtinId="5"/>
    <cellStyle name="쉼표 [0]" xfId="1" builtinId="6"/>
    <cellStyle name="쉼표 [0] 2" xfId="3"/>
    <cellStyle name="쉼표 [0] 3" xfId="4"/>
    <cellStyle name="표준" xfId="0" builtinId="0"/>
    <cellStyle name="표준 2" xfId="2"/>
    <cellStyle name="표준 3" xfId="5"/>
    <cellStyle name="표준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view="pageBreakPreview" zoomScale="70" zoomScaleNormal="100" zoomScaleSheetLayoutView="70" workbookViewId="0">
      <selection sqref="A1:F1"/>
    </sheetView>
  </sheetViews>
  <sheetFormatPr defaultRowHeight="13.5" x14ac:dyDescent="0.15"/>
  <cols>
    <col min="1" max="1" width="121.44140625" style="33" customWidth="1"/>
    <col min="2" max="16384" width="8.88671875" style="33"/>
  </cols>
  <sheetData>
    <row r="1" spans="1:1" ht="84.75" customHeight="1" x14ac:dyDescent="0.15">
      <c r="A1" s="1"/>
    </row>
    <row r="2" spans="1:1" ht="30" customHeight="1" x14ac:dyDescent="0.15">
      <c r="A2" s="35" t="s">
        <v>258</v>
      </c>
    </row>
    <row r="3" spans="1:1" ht="30" customHeight="1" x14ac:dyDescent="0.4">
      <c r="A3" s="36" t="s">
        <v>161</v>
      </c>
    </row>
    <row r="4" spans="1:1" ht="30" customHeight="1" x14ac:dyDescent="0.15">
      <c r="A4" s="1"/>
    </row>
    <row r="5" spans="1:1" ht="30" customHeight="1" x14ac:dyDescent="0.15">
      <c r="A5" s="1"/>
    </row>
    <row r="6" spans="1:1" ht="231" customHeight="1" x14ac:dyDescent="0.3">
      <c r="A6" s="6" t="s">
        <v>259</v>
      </c>
    </row>
    <row r="7" spans="1:1" ht="217.5" customHeight="1" x14ac:dyDescent="0.15">
      <c r="A7" s="1"/>
    </row>
    <row r="8" spans="1:1" ht="30" customHeight="1" x14ac:dyDescent="0.15">
      <c r="A8" s="2" t="s">
        <v>0</v>
      </c>
    </row>
    <row r="9" spans="1:1" ht="30" customHeight="1" x14ac:dyDescent="0.15">
      <c r="A9" s="3" t="s">
        <v>70</v>
      </c>
    </row>
  </sheetData>
  <customSheetViews>
    <customSheetView guid="{29BE6789-D580-482F-AE13-9E62D887C1AB}" scale="60" showPageBreaks="1" printArea="1" view="pageBreakPreview">
      <selection activeCell="A8" sqref="A8:A9"/>
      <pageMargins left="0.7480314960629921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/>
    </customSheetView>
  </customSheetViews>
  <phoneticPr fontId="2" type="noConversion"/>
  <pageMargins left="0.94488188976377963" right="0.74803149606299213" top="0.98425196850393704" bottom="0.98425196850393704" header="0.51181102362204722" footer="0.51181102362204722"/>
  <pageSetup paperSize="9" scale="92" firstPageNumber="183" fitToWidth="0" fitToHeight="0" orientation="portrait" useFirstPageNumber="1" horizontalDpi="4294967294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view="pageBreakPreview" zoomScale="115" zoomScaleNormal="100" zoomScaleSheetLayoutView="115" workbookViewId="0">
      <selection sqref="A1:F1"/>
    </sheetView>
  </sheetViews>
  <sheetFormatPr defaultRowHeight="13.5" x14ac:dyDescent="0.15"/>
  <cols>
    <col min="1" max="1" width="79.6640625" style="33" customWidth="1"/>
    <col min="2" max="2" width="9.5546875" style="33" bestFit="1" customWidth="1"/>
    <col min="3" max="16384" width="8.88671875" style="33"/>
  </cols>
  <sheetData>
    <row r="1" spans="1:2" ht="30" customHeight="1" x14ac:dyDescent="0.3">
      <c r="A1" s="37" t="s">
        <v>11</v>
      </c>
    </row>
    <row r="2" spans="1:2" ht="30" customHeight="1" x14ac:dyDescent="0.15">
      <c r="A2" s="38"/>
    </row>
    <row r="3" spans="1:2" ht="30" customHeight="1" x14ac:dyDescent="0.15">
      <c r="A3" s="39" t="s">
        <v>160</v>
      </c>
    </row>
    <row r="4" spans="1:2" ht="30" customHeight="1" x14ac:dyDescent="0.15">
      <c r="A4" s="39"/>
    </row>
    <row r="5" spans="1:2" ht="30" customHeight="1" x14ac:dyDescent="0.15">
      <c r="A5" s="39" t="s">
        <v>277</v>
      </c>
      <c r="B5" s="51"/>
    </row>
    <row r="6" spans="1:2" ht="30" customHeight="1" x14ac:dyDescent="0.15">
      <c r="A6" s="39"/>
    </row>
    <row r="7" spans="1:2" ht="30" customHeight="1" x14ac:dyDescent="0.15">
      <c r="A7" s="39" t="s">
        <v>123</v>
      </c>
    </row>
    <row r="8" spans="1:2" ht="30" customHeight="1" x14ac:dyDescent="0.15">
      <c r="A8" s="39"/>
    </row>
    <row r="9" spans="1:2" ht="30" customHeight="1" x14ac:dyDescent="0.15">
      <c r="A9" s="52" t="s">
        <v>97</v>
      </c>
    </row>
    <row r="10" spans="1:2" ht="30" customHeight="1" x14ac:dyDescent="0.15">
      <c r="A10" s="39"/>
    </row>
    <row r="11" spans="1:2" ht="30" customHeight="1" x14ac:dyDescent="0.15">
      <c r="A11" s="38" t="s">
        <v>104</v>
      </c>
    </row>
    <row r="12" spans="1:2" ht="30" customHeight="1" x14ac:dyDescent="0.15">
      <c r="A12" s="38" t="s">
        <v>105</v>
      </c>
    </row>
    <row r="13" spans="1:2" ht="30" customHeight="1" x14ac:dyDescent="0.15">
      <c r="A13" s="38"/>
    </row>
    <row r="14" spans="1:2" ht="30" customHeight="1" x14ac:dyDescent="0.15">
      <c r="A14" s="38" t="s">
        <v>94</v>
      </c>
    </row>
    <row r="15" spans="1:2" ht="30" customHeight="1" x14ac:dyDescent="0.15">
      <c r="A15" s="38" t="s">
        <v>98</v>
      </c>
    </row>
    <row r="16" spans="1:2" ht="30" customHeight="1" x14ac:dyDescent="0.15">
      <c r="A16" s="38"/>
    </row>
    <row r="17" spans="1:1" ht="30" customHeight="1" x14ac:dyDescent="0.15">
      <c r="A17" s="38" t="s">
        <v>106</v>
      </c>
    </row>
    <row r="18" spans="1:1" ht="30" customHeight="1" x14ac:dyDescent="0.15">
      <c r="A18" s="38" t="s">
        <v>95</v>
      </c>
    </row>
    <row r="19" spans="1:1" ht="14.25" x14ac:dyDescent="0.15">
      <c r="A19" s="38"/>
    </row>
    <row r="20" spans="1:1" ht="14.25" x14ac:dyDescent="0.15">
      <c r="A20" s="38"/>
    </row>
    <row r="21" spans="1:1" ht="20.25" x14ac:dyDescent="0.25">
      <c r="A21" s="40"/>
    </row>
  </sheetData>
  <customSheetViews>
    <customSheetView guid="{29BE6789-D580-482F-AE13-9E62D887C1AB}" showPageBreaks="1" view="pageBreakPreview">
      <selection activeCell="A5" sqref="A5"/>
      <pageMargins left="0.9448818897637796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>
        <oddFooter xml:space="preserve">&amp;R참좋은 기억학교(2022.02.14)
</oddFooter>
      </headerFooter>
    </customSheetView>
  </customSheetViews>
  <phoneticPr fontId="2" type="noConversion"/>
  <pageMargins left="0.94488188976377963" right="0.74803149606299213" top="0.98425196850393704" bottom="0.98425196850393704" header="0.51181102362204722" footer="0.51181102362204722"/>
  <pageSetup paperSize="9" scale="81" firstPageNumber="183" orientation="portrait" useFirstPageNumber="1" r:id="rId2"/>
  <headerFooter alignWithMargins="0">
    <oddFooter xml:space="preserve">&amp;R참좋은기억학교(2023. 12. 04.)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topLeftCell="A4" zoomScaleNormal="100" zoomScaleSheetLayoutView="100" workbookViewId="0">
      <selection sqref="A1:F1"/>
    </sheetView>
  </sheetViews>
  <sheetFormatPr defaultRowHeight="13.5" x14ac:dyDescent="0.15"/>
  <cols>
    <col min="1" max="1" width="14.88671875" style="5" customWidth="1"/>
    <col min="2" max="2" width="15.88671875" style="5" customWidth="1"/>
    <col min="3" max="5" width="13.77734375" style="5" customWidth="1"/>
    <col min="6" max="7" width="11.77734375" bestFit="1" customWidth="1"/>
  </cols>
  <sheetData>
    <row r="1" spans="1:7" ht="39" customHeight="1" x14ac:dyDescent="0.15">
      <c r="A1" s="312" t="s">
        <v>162</v>
      </c>
      <c r="B1" s="312"/>
      <c r="C1" s="312"/>
      <c r="D1" s="312"/>
      <c r="E1" s="312"/>
    </row>
    <row r="2" spans="1:7" ht="18" customHeight="1" x14ac:dyDescent="0.15">
      <c r="A2" s="216"/>
      <c r="B2" s="216"/>
      <c r="C2" s="216"/>
      <c r="D2" s="216"/>
      <c r="E2" s="31" t="s">
        <v>80</v>
      </c>
    </row>
    <row r="3" spans="1:7" ht="21" customHeight="1" x14ac:dyDescent="0.15">
      <c r="A3" s="313" t="s">
        <v>1</v>
      </c>
      <c r="B3" s="314"/>
      <c r="C3" s="314"/>
      <c r="D3" s="314"/>
      <c r="E3" s="315"/>
    </row>
    <row r="4" spans="1:7" ht="21" customHeight="1" thickBot="1" x14ac:dyDescent="0.2">
      <c r="A4" s="7" t="s">
        <v>2</v>
      </c>
      <c r="B4" s="8" t="s">
        <v>3</v>
      </c>
      <c r="C4" s="49" t="s">
        <v>164</v>
      </c>
      <c r="D4" s="49" t="s">
        <v>163</v>
      </c>
      <c r="E4" s="9" t="s">
        <v>4</v>
      </c>
    </row>
    <row r="5" spans="1:7" ht="21" customHeight="1" thickTop="1" x14ac:dyDescent="0.15">
      <c r="A5" s="316" t="s">
        <v>5</v>
      </c>
      <c r="B5" s="317"/>
      <c r="C5" s="10">
        <f>C6+C7+C8+C9+C10+C11</f>
        <v>452300000</v>
      </c>
      <c r="D5" s="10">
        <f>D6+D7+D8+D9+D10+D11</f>
        <v>491800000</v>
      </c>
      <c r="E5" s="11">
        <f>E6+E7+E8+E9+E10+E11</f>
        <v>39500000</v>
      </c>
      <c r="G5" s="68"/>
    </row>
    <row r="6" spans="1:7" ht="21" customHeight="1" x14ac:dyDescent="0.15">
      <c r="A6" s="205" t="s">
        <v>71</v>
      </c>
      <c r="B6" s="12" t="s">
        <v>72</v>
      </c>
      <c r="C6" s="13">
        <f>'최초예산내역-세입'!D7</f>
        <v>61965000</v>
      </c>
      <c r="D6" s="13">
        <f>'최초예산내역-세입'!E7</f>
        <v>60515000</v>
      </c>
      <c r="E6" s="14">
        <f t="shared" ref="E6:E11" si="0">D6-C6</f>
        <v>-1450000</v>
      </c>
      <c r="F6" s="68"/>
      <c r="G6" s="68"/>
    </row>
    <row r="7" spans="1:7" ht="21" customHeight="1" x14ac:dyDescent="0.15">
      <c r="A7" s="15" t="s">
        <v>73</v>
      </c>
      <c r="B7" s="12" t="s">
        <v>74</v>
      </c>
      <c r="C7" s="13">
        <f>'최초예산내역-세입'!D11</f>
        <v>367346640</v>
      </c>
      <c r="D7" s="13">
        <f>'최초예산내역-세입'!E11</f>
        <v>393620512</v>
      </c>
      <c r="E7" s="14">
        <f t="shared" si="0"/>
        <v>26273872</v>
      </c>
      <c r="F7" s="68"/>
    </row>
    <row r="8" spans="1:7" ht="21" customHeight="1" x14ac:dyDescent="0.15">
      <c r="A8" s="206" t="s">
        <v>76</v>
      </c>
      <c r="B8" s="12" t="s">
        <v>75</v>
      </c>
      <c r="C8" s="13">
        <f>'최초예산내역-세입'!D18</f>
        <v>1350000</v>
      </c>
      <c r="D8" s="13">
        <f>'최초예산내역-세입'!E18</f>
        <v>900000</v>
      </c>
      <c r="E8" s="14">
        <f t="shared" si="0"/>
        <v>-450000</v>
      </c>
    </row>
    <row r="9" spans="1:7" ht="21" customHeight="1" x14ac:dyDescent="0.15">
      <c r="A9" s="15" t="s">
        <v>77</v>
      </c>
      <c r="B9" s="12" t="s">
        <v>77</v>
      </c>
      <c r="C9" s="13">
        <f>'최초예산내역-세입'!D23</f>
        <v>0</v>
      </c>
      <c r="D9" s="13">
        <f>'최초예산내역-세입'!E23</f>
        <v>3600000</v>
      </c>
      <c r="E9" s="14">
        <f t="shared" si="0"/>
        <v>3600000</v>
      </c>
    </row>
    <row r="10" spans="1:7" ht="21" customHeight="1" x14ac:dyDescent="0.15">
      <c r="A10" s="16" t="s">
        <v>78</v>
      </c>
      <c r="B10" s="17" t="s">
        <v>78</v>
      </c>
      <c r="C10" s="18">
        <f>'최초예산내역-세입'!D27</f>
        <v>7773997</v>
      </c>
      <c r="D10" s="18">
        <f>'최초예산내역-세입'!E27</f>
        <v>8032618</v>
      </c>
      <c r="E10" s="19">
        <f t="shared" si="0"/>
        <v>258621</v>
      </c>
    </row>
    <row r="11" spans="1:7" ht="21" customHeight="1" x14ac:dyDescent="0.15">
      <c r="A11" s="20" t="s">
        <v>79</v>
      </c>
      <c r="B11" s="21" t="s">
        <v>79</v>
      </c>
      <c r="C11" s="22">
        <f>'최초예산내역-세입'!D35</f>
        <v>13864363</v>
      </c>
      <c r="D11" s="22">
        <f>'최초예산내역-세입'!E35</f>
        <v>25131870</v>
      </c>
      <c r="E11" s="23">
        <f t="shared" si="0"/>
        <v>11267507</v>
      </c>
    </row>
    <row r="12" spans="1:7" ht="21" customHeight="1" x14ac:dyDescent="0.15">
      <c r="A12" s="96"/>
      <c r="B12" s="96"/>
      <c r="C12" s="97"/>
      <c r="D12" s="98"/>
      <c r="E12" s="99"/>
    </row>
    <row r="13" spans="1:7" ht="21" customHeight="1" x14ac:dyDescent="0.15">
      <c r="A13" s="100"/>
      <c r="B13" s="100"/>
      <c r="C13" s="100"/>
      <c r="D13" s="100"/>
      <c r="E13" s="30" t="s">
        <v>80</v>
      </c>
    </row>
    <row r="14" spans="1:7" ht="21" customHeight="1" x14ac:dyDescent="0.15">
      <c r="A14" s="313" t="s">
        <v>6</v>
      </c>
      <c r="B14" s="314"/>
      <c r="C14" s="314"/>
      <c r="D14" s="314"/>
      <c r="E14" s="315"/>
    </row>
    <row r="15" spans="1:7" ht="21" customHeight="1" thickBot="1" x14ac:dyDescent="0.2">
      <c r="A15" s="7" t="s">
        <v>7</v>
      </c>
      <c r="B15" s="8" t="s">
        <v>8</v>
      </c>
      <c r="C15" s="49" t="str">
        <f>C4</f>
        <v>2023년 결산추경
(A)</v>
      </c>
      <c r="D15" s="49" t="str">
        <f>D4</f>
        <v>2024년 최초예산
(B)</v>
      </c>
      <c r="E15" s="9" t="s">
        <v>9</v>
      </c>
    </row>
    <row r="16" spans="1:7" ht="21" customHeight="1" thickTop="1" x14ac:dyDescent="0.15">
      <c r="A16" s="24" t="s">
        <v>10</v>
      </c>
      <c r="B16" s="25"/>
      <c r="C16" s="10">
        <f>SUM(C17:C24)</f>
        <v>452299999.90333748</v>
      </c>
      <c r="D16" s="10">
        <f>SUM(D17:D24)</f>
        <v>491800000.13514787</v>
      </c>
      <c r="E16" s="26">
        <f t="shared" ref="E16:E24" si="1">D16-C16</f>
        <v>39500000.231810391</v>
      </c>
      <c r="F16" s="68"/>
    </row>
    <row r="17" spans="1:7" ht="21" customHeight="1" x14ac:dyDescent="0.15">
      <c r="A17" s="309" t="s">
        <v>81</v>
      </c>
      <c r="B17" s="27" t="s">
        <v>82</v>
      </c>
      <c r="C17" s="28">
        <f>'최초예산내역-세출'!D8</f>
        <v>347045432.90333748</v>
      </c>
      <c r="D17" s="28">
        <f>'최초예산내역-세출'!E8</f>
        <v>375530512.13514787</v>
      </c>
      <c r="E17" s="41">
        <f t="shared" si="1"/>
        <v>28485079.231810391</v>
      </c>
      <c r="F17" s="68"/>
    </row>
    <row r="18" spans="1:7" ht="21" customHeight="1" x14ac:dyDescent="0.15">
      <c r="A18" s="310"/>
      <c r="B18" s="12" t="s">
        <v>84</v>
      </c>
      <c r="C18" s="29">
        <f>'최초예산내역-세출'!D48</f>
        <v>1600000</v>
      </c>
      <c r="D18" s="29">
        <f>'최초예산내역-세출'!E48</f>
        <v>6850000</v>
      </c>
      <c r="E18" s="42">
        <f t="shared" si="1"/>
        <v>5250000</v>
      </c>
      <c r="F18" s="68"/>
      <c r="G18" s="68"/>
    </row>
    <row r="19" spans="1:7" ht="21" customHeight="1" x14ac:dyDescent="0.15">
      <c r="A19" s="311"/>
      <c r="B19" s="12" t="s">
        <v>83</v>
      </c>
      <c r="C19" s="29">
        <f>'최초예산내역-세출'!D57</f>
        <v>50289200</v>
      </c>
      <c r="D19" s="29">
        <f>'최초예산내역-세출'!E57</f>
        <v>49839200</v>
      </c>
      <c r="E19" s="42">
        <f t="shared" si="1"/>
        <v>-450000</v>
      </c>
    </row>
    <row r="20" spans="1:7" ht="21" customHeight="1" x14ac:dyDescent="0.15">
      <c r="A20" s="15" t="s">
        <v>85</v>
      </c>
      <c r="B20" s="12" t="s">
        <v>86</v>
      </c>
      <c r="C20" s="29">
        <f>'최초예산내역-세출'!D85</f>
        <v>6309996</v>
      </c>
      <c r="D20" s="29">
        <f>'최초예산내역-세출'!E85</f>
        <v>10359996</v>
      </c>
      <c r="E20" s="42">
        <f t="shared" si="1"/>
        <v>4050000</v>
      </c>
    </row>
    <row r="21" spans="1:7" ht="21" customHeight="1" x14ac:dyDescent="0.15">
      <c r="A21" s="309" t="s">
        <v>87</v>
      </c>
      <c r="B21" s="12" t="s">
        <v>83</v>
      </c>
      <c r="C21" s="29">
        <f>'최초예산내역-세출'!D97</f>
        <v>27000000</v>
      </c>
      <c r="D21" s="29">
        <f>'최초예산내역-세출'!E97</f>
        <v>27400000</v>
      </c>
      <c r="E21" s="42">
        <f t="shared" si="1"/>
        <v>400000</v>
      </c>
    </row>
    <row r="22" spans="1:7" ht="21" customHeight="1" x14ac:dyDescent="0.15">
      <c r="A22" s="310"/>
      <c r="B22" s="12" t="s">
        <v>87</v>
      </c>
      <c r="C22" s="29">
        <f>'최초예산내역-세출'!D103</f>
        <v>11140000</v>
      </c>
      <c r="D22" s="29">
        <f>'최초예산내역-세출'!E103</f>
        <v>14754000</v>
      </c>
      <c r="E22" s="42">
        <f t="shared" si="1"/>
        <v>3614000</v>
      </c>
    </row>
    <row r="23" spans="1:7" ht="21" customHeight="1" x14ac:dyDescent="0.15">
      <c r="A23" s="311"/>
      <c r="B23" s="12" t="s">
        <v>89</v>
      </c>
      <c r="C23" s="29">
        <f>'최초예산내역-세출'!D135</f>
        <v>8623000</v>
      </c>
      <c r="D23" s="29">
        <f>'최초예산내역-세출'!E135</f>
        <v>6823000</v>
      </c>
      <c r="E23" s="42">
        <f t="shared" si="1"/>
        <v>-1800000</v>
      </c>
    </row>
    <row r="24" spans="1:7" ht="21" customHeight="1" x14ac:dyDescent="0.15">
      <c r="A24" s="20" t="s">
        <v>88</v>
      </c>
      <c r="B24" s="21" t="s">
        <v>88</v>
      </c>
      <c r="C24" s="22">
        <f>'최초예산내역-세출'!D149</f>
        <v>292371</v>
      </c>
      <c r="D24" s="22">
        <f>'최초예산내역-세출'!E149</f>
        <v>243292</v>
      </c>
      <c r="E24" s="32">
        <f t="shared" si="1"/>
        <v>-49079</v>
      </c>
    </row>
    <row r="25" spans="1:7" x14ac:dyDescent="0.15">
      <c r="A25" s="4"/>
      <c r="B25" s="4"/>
    </row>
  </sheetData>
  <customSheetViews>
    <customSheetView guid="{29BE6789-D580-482F-AE13-9E62D887C1AB}" showPageBreaks="1" printArea="1" view="pageBreakPreview">
      <selection activeCell="C16" sqref="C16"/>
      <pageMargins left="0.94488188976377963" right="0.74803149606299213" top="0.98425196850393704" bottom="0.98425196850393704" header="0.51181102362204722" footer="0.51181102362204722"/>
      <pageSetup paperSize="9" firstPageNumber="185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6">
    <mergeCell ref="A17:A19"/>
    <mergeCell ref="A21:A23"/>
    <mergeCell ref="A1:E1"/>
    <mergeCell ref="A3:E3"/>
    <mergeCell ref="A5:B5"/>
    <mergeCell ref="A14:E14"/>
  </mergeCells>
  <phoneticPr fontId="2" type="noConversion"/>
  <pageMargins left="0.94488188976377963" right="0.74803149606299213" top="0.98425196850393704" bottom="0.98425196850393704" header="0.51181102362204722" footer="0.51181102362204722"/>
  <pageSetup paperSize="9" firstPageNumber="185" orientation="portrait" useFirstPageNumber="1" r:id="rId2"/>
  <headerFooter alignWithMargins="0">
    <oddFooter xml:space="preserve">&amp;R참좋은기억학교(2023. 12. 04.)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view="pageBreakPreview" topLeftCell="A10" zoomScaleNormal="100" zoomScaleSheetLayoutView="100" workbookViewId="0">
      <selection activeCell="H27" sqref="H27"/>
    </sheetView>
  </sheetViews>
  <sheetFormatPr defaultRowHeight="13.5" x14ac:dyDescent="0.15"/>
  <cols>
    <col min="1" max="1" width="9.44140625" style="33" customWidth="1"/>
    <col min="2" max="2" width="10.21875" style="33" customWidth="1"/>
    <col min="3" max="3" width="12.6640625" style="33" customWidth="1"/>
    <col min="4" max="4" width="12.6640625" style="51" customWidth="1"/>
    <col min="5" max="5" width="13" style="51" customWidth="1"/>
    <col min="6" max="6" width="11.77734375" style="51" customWidth="1"/>
    <col min="7" max="7" width="10.109375" style="240" customWidth="1"/>
    <col min="8" max="8" width="40.33203125" style="33" customWidth="1"/>
    <col min="9" max="9" width="14" style="126" bestFit="1" customWidth="1"/>
    <col min="10" max="10" width="11.44140625" style="33" bestFit="1" customWidth="1"/>
    <col min="11" max="11" width="14" style="127" bestFit="1" customWidth="1"/>
    <col min="12" max="13" width="12.44140625" style="33" bestFit="1" customWidth="1"/>
    <col min="14" max="16384" width="8.88671875" style="33"/>
  </cols>
  <sheetData>
    <row r="1" spans="1:13" ht="20.100000000000001" customHeight="1" x14ac:dyDescent="0.15">
      <c r="A1" s="325" t="s">
        <v>166</v>
      </c>
      <c r="B1" s="325"/>
      <c r="C1" s="325"/>
      <c r="D1" s="325"/>
      <c r="E1" s="325"/>
      <c r="F1" s="325"/>
      <c r="G1" s="325"/>
      <c r="H1" s="325"/>
    </row>
    <row r="2" spans="1:13" ht="20.100000000000001" customHeight="1" x14ac:dyDescent="0.15">
      <c r="A2" s="86"/>
      <c r="B2" s="86"/>
      <c r="C2" s="86"/>
      <c r="D2" s="84"/>
      <c r="E2" s="84"/>
      <c r="F2" s="84"/>
      <c r="G2" s="227"/>
      <c r="H2" s="87"/>
    </row>
    <row r="3" spans="1:13" ht="20.100000000000001" customHeight="1" x14ac:dyDescent="0.15">
      <c r="A3" s="326" t="s">
        <v>201</v>
      </c>
      <c r="B3" s="327"/>
      <c r="C3" s="327"/>
      <c r="D3" s="99"/>
      <c r="E3" s="101"/>
      <c r="F3" s="99"/>
      <c r="G3" s="228"/>
      <c r="H3" s="328" t="s">
        <v>12</v>
      </c>
      <c r="I3" s="329"/>
    </row>
    <row r="4" spans="1:13" ht="20.100000000000001" customHeight="1" x14ac:dyDescent="0.15">
      <c r="A4" s="330" t="s">
        <v>13</v>
      </c>
      <c r="B4" s="331"/>
      <c r="C4" s="314"/>
      <c r="D4" s="332" t="str">
        <f>최초예산총괄!C4</f>
        <v>2023년 결산추경
(A)</v>
      </c>
      <c r="E4" s="332" t="str">
        <f>최초예산총괄!D4</f>
        <v>2024년 최초예산
(B)</v>
      </c>
      <c r="F4" s="334" t="s">
        <v>4</v>
      </c>
      <c r="G4" s="334"/>
      <c r="H4" s="335" t="s">
        <v>14</v>
      </c>
      <c r="I4" s="336"/>
    </row>
    <row r="5" spans="1:13" ht="22.5" customHeight="1" thickBot="1" x14ac:dyDescent="0.2">
      <c r="A5" s="7" t="s">
        <v>15</v>
      </c>
      <c r="B5" s="128" t="s">
        <v>16</v>
      </c>
      <c r="C5" s="128" t="s">
        <v>17</v>
      </c>
      <c r="D5" s="333"/>
      <c r="E5" s="333"/>
      <c r="F5" s="103" t="s">
        <v>165</v>
      </c>
      <c r="G5" s="229" t="s">
        <v>18</v>
      </c>
      <c r="H5" s="337"/>
      <c r="I5" s="338"/>
    </row>
    <row r="6" spans="1:13" ht="20.100000000000001" customHeight="1" thickTop="1" x14ac:dyDescent="0.15">
      <c r="A6" s="316" t="s">
        <v>19</v>
      </c>
      <c r="B6" s="339"/>
      <c r="C6" s="340"/>
      <c r="D6" s="104">
        <v>452300000</v>
      </c>
      <c r="E6" s="104">
        <f>E7+E11+E27+E35+E23+E18</f>
        <v>491800000</v>
      </c>
      <c r="F6" s="105">
        <f>E6-D6</f>
        <v>39500000</v>
      </c>
      <c r="G6" s="230">
        <f>F6/E6*100</f>
        <v>8.0317202114680768</v>
      </c>
      <c r="H6" s="106"/>
      <c r="I6" s="129"/>
      <c r="J6" s="51"/>
    </row>
    <row r="7" spans="1:13" ht="20.100000000000001" customHeight="1" x14ac:dyDescent="0.15">
      <c r="A7" s="318" t="s">
        <v>28</v>
      </c>
      <c r="B7" s="319"/>
      <c r="C7" s="320"/>
      <c r="D7" s="107">
        <v>61965000</v>
      </c>
      <c r="E7" s="107">
        <f>I10</f>
        <v>60515000</v>
      </c>
      <c r="F7" s="105">
        <f t="shared" ref="F7:F37" si="0">E7-D7</f>
        <v>-1450000</v>
      </c>
      <c r="G7" s="230">
        <f>F7/E7*100</f>
        <v>-2.3961001404610429</v>
      </c>
      <c r="H7" s="108" t="s">
        <v>29</v>
      </c>
      <c r="I7" s="130"/>
    </row>
    <row r="8" spans="1:13" ht="20.100000000000001" customHeight="1" x14ac:dyDescent="0.15">
      <c r="A8" s="310"/>
      <c r="B8" s="321" t="s">
        <v>29</v>
      </c>
      <c r="C8" s="320"/>
      <c r="D8" s="109">
        <v>61965000</v>
      </c>
      <c r="E8" s="109">
        <f>E9</f>
        <v>60515000</v>
      </c>
      <c r="F8" s="110">
        <f t="shared" si="0"/>
        <v>-1450000</v>
      </c>
      <c r="G8" s="231">
        <f>F8/E8*100</f>
        <v>-2.3961001404610429</v>
      </c>
      <c r="H8" s="108" t="s">
        <v>29</v>
      </c>
      <c r="I8" s="130"/>
      <c r="J8" s="51"/>
    </row>
    <row r="9" spans="1:13" ht="20.100000000000001" customHeight="1" x14ac:dyDescent="0.15">
      <c r="A9" s="310"/>
      <c r="B9" s="341"/>
      <c r="C9" s="34" t="s">
        <v>29</v>
      </c>
      <c r="D9" s="111">
        <v>61965000</v>
      </c>
      <c r="E9" s="111">
        <f>I10</f>
        <v>60515000</v>
      </c>
      <c r="F9" s="116">
        <f t="shared" si="0"/>
        <v>-1450000</v>
      </c>
      <c r="G9" s="232">
        <f>F9/E9*100</f>
        <v>-2.3961001404610429</v>
      </c>
      <c r="H9" s="112" t="s">
        <v>29</v>
      </c>
      <c r="I9" s="131"/>
    </row>
    <row r="10" spans="1:13" ht="20.100000000000001" customHeight="1" x14ac:dyDescent="0.15">
      <c r="A10" s="310"/>
      <c r="B10" s="341"/>
      <c r="C10" s="93"/>
      <c r="D10" s="113"/>
      <c r="E10" s="113"/>
      <c r="F10" s="114"/>
      <c r="G10" s="233"/>
      <c r="H10" s="117" t="s">
        <v>230</v>
      </c>
      <c r="I10" s="132">
        <f>10000*24.5*247</f>
        <v>60515000</v>
      </c>
    </row>
    <row r="11" spans="1:13" ht="20.100000000000001" customHeight="1" x14ac:dyDescent="0.15">
      <c r="A11" s="318" t="s">
        <v>30</v>
      </c>
      <c r="B11" s="319"/>
      <c r="C11" s="320"/>
      <c r="D11" s="115">
        <v>367346640</v>
      </c>
      <c r="E11" s="115">
        <f>E12</f>
        <v>393620512</v>
      </c>
      <c r="F11" s="107">
        <f t="shared" si="0"/>
        <v>26273872</v>
      </c>
      <c r="G11" s="234">
        <f>F11/E11*100</f>
        <v>6.6749245019019741</v>
      </c>
      <c r="H11" s="108" t="s">
        <v>30</v>
      </c>
      <c r="I11" s="130"/>
      <c r="J11" s="51"/>
    </row>
    <row r="12" spans="1:13" ht="20.100000000000001" customHeight="1" x14ac:dyDescent="0.15">
      <c r="A12" s="133"/>
      <c r="B12" s="321" t="s">
        <v>30</v>
      </c>
      <c r="C12" s="320"/>
      <c r="D12" s="111">
        <v>367346640</v>
      </c>
      <c r="E12" s="111">
        <f>SUM(E13:E17)</f>
        <v>393620512</v>
      </c>
      <c r="F12" s="110">
        <f t="shared" si="0"/>
        <v>26273872</v>
      </c>
      <c r="G12" s="231">
        <f>F12/E12*100</f>
        <v>6.6749245019019741</v>
      </c>
      <c r="H12" s="108" t="s">
        <v>36</v>
      </c>
      <c r="I12" s="130"/>
      <c r="M12" s="127"/>
    </row>
    <row r="13" spans="1:13" ht="20.100000000000001" customHeight="1" x14ac:dyDescent="0.15">
      <c r="A13" s="133" t="s">
        <v>130</v>
      </c>
      <c r="B13" s="212"/>
      <c r="C13" s="134" t="s">
        <v>113</v>
      </c>
      <c r="D13" s="29">
        <v>0</v>
      </c>
      <c r="E13" s="29">
        <v>0</v>
      </c>
      <c r="F13" s="109">
        <f t="shared" si="0"/>
        <v>0</v>
      </c>
      <c r="G13" s="231">
        <v>0</v>
      </c>
      <c r="H13" s="108" t="s">
        <v>112</v>
      </c>
      <c r="I13" s="130"/>
      <c r="M13" s="88"/>
    </row>
    <row r="14" spans="1:13" ht="20.100000000000001" customHeight="1" x14ac:dyDescent="0.15">
      <c r="A14" s="133"/>
      <c r="B14" s="212"/>
      <c r="C14" s="34" t="s">
        <v>114</v>
      </c>
      <c r="D14" s="111">
        <v>0</v>
      </c>
      <c r="E14" s="111">
        <v>0</v>
      </c>
      <c r="F14" s="116">
        <f t="shared" si="0"/>
        <v>0</v>
      </c>
      <c r="G14" s="231">
        <v>0</v>
      </c>
      <c r="H14" s="108" t="s">
        <v>139</v>
      </c>
      <c r="I14" s="130"/>
      <c r="L14" s="88"/>
    </row>
    <row r="15" spans="1:13" ht="20.100000000000001" customHeight="1" x14ac:dyDescent="0.15">
      <c r="A15" s="133"/>
      <c r="B15" s="212"/>
      <c r="C15" s="34" t="s">
        <v>115</v>
      </c>
      <c r="D15" s="111">
        <v>367346640</v>
      </c>
      <c r="E15" s="111">
        <f>I16+I17</f>
        <v>393620512</v>
      </c>
      <c r="F15" s="116">
        <f t="shared" si="0"/>
        <v>26273872</v>
      </c>
      <c r="G15" s="232">
        <f>F15/E15*100</f>
        <v>6.6749245019019741</v>
      </c>
      <c r="H15" s="112" t="s">
        <v>111</v>
      </c>
      <c r="I15" s="131"/>
    </row>
    <row r="16" spans="1:13" ht="20.100000000000001" customHeight="1" x14ac:dyDescent="0.15">
      <c r="A16" s="133"/>
      <c r="B16" s="212"/>
      <c r="C16" s="93"/>
      <c r="D16" s="113"/>
      <c r="E16" s="113"/>
      <c r="F16" s="114"/>
      <c r="G16" s="235"/>
      <c r="H16" s="117" t="s">
        <v>271</v>
      </c>
      <c r="I16" s="132">
        <f>92905128*4</f>
        <v>371620512</v>
      </c>
      <c r="J16" s="127"/>
      <c r="L16" s="51"/>
    </row>
    <row r="17" spans="1:12" ht="20.100000000000001" customHeight="1" x14ac:dyDescent="0.15">
      <c r="A17" s="133"/>
      <c r="B17" s="212"/>
      <c r="C17" s="93"/>
      <c r="D17" s="113"/>
      <c r="E17" s="113"/>
      <c r="F17" s="114"/>
      <c r="G17" s="233"/>
      <c r="H17" s="117" t="s">
        <v>137</v>
      </c>
      <c r="I17" s="132">
        <f>5500000*4</f>
        <v>22000000</v>
      </c>
      <c r="J17" s="127"/>
      <c r="L17" s="51"/>
    </row>
    <row r="18" spans="1:12" ht="20.100000000000001" customHeight="1" x14ac:dyDescent="0.15">
      <c r="A18" s="318" t="s">
        <v>31</v>
      </c>
      <c r="B18" s="319"/>
      <c r="C18" s="320"/>
      <c r="D18" s="115">
        <v>1350000</v>
      </c>
      <c r="E18" s="115">
        <f>E19</f>
        <v>900000</v>
      </c>
      <c r="F18" s="107">
        <f t="shared" ref="F18:F31" si="1">E18-D18</f>
        <v>-450000</v>
      </c>
      <c r="G18" s="231">
        <f>F18/E18*100</f>
        <v>-50</v>
      </c>
      <c r="H18" s="108" t="s">
        <v>31</v>
      </c>
      <c r="I18" s="130"/>
      <c r="L18" s="88"/>
    </row>
    <row r="19" spans="1:12" ht="20.100000000000001" customHeight="1" x14ac:dyDescent="0.15">
      <c r="A19" s="133"/>
      <c r="B19" s="321" t="s">
        <v>31</v>
      </c>
      <c r="C19" s="320"/>
      <c r="D19" s="29">
        <v>1350000</v>
      </c>
      <c r="E19" s="29">
        <f>SUM(E20:E22)</f>
        <v>900000</v>
      </c>
      <c r="F19" s="110">
        <f t="shared" si="1"/>
        <v>-450000</v>
      </c>
      <c r="G19" s="231">
        <f>F19/E19*100</f>
        <v>-50</v>
      </c>
      <c r="H19" s="108" t="s">
        <v>31</v>
      </c>
      <c r="I19" s="130"/>
      <c r="L19" s="88"/>
    </row>
    <row r="20" spans="1:12" ht="20.100000000000001" customHeight="1" x14ac:dyDescent="0.15">
      <c r="A20" s="133"/>
      <c r="B20" s="135"/>
      <c r="C20" s="134" t="s">
        <v>32</v>
      </c>
      <c r="D20" s="29">
        <v>450000</v>
      </c>
      <c r="E20" s="29">
        <f>I20</f>
        <v>0</v>
      </c>
      <c r="F20" s="114">
        <f t="shared" si="1"/>
        <v>-450000</v>
      </c>
      <c r="G20" s="224">
        <v>0</v>
      </c>
      <c r="H20" s="108" t="s">
        <v>32</v>
      </c>
      <c r="I20" s="130">
        <v>0</v>
      </c>
      <c r="L20" s="88"/>
    </row>
    <row r="21" spans="1:12" ht="20.100000000000001" customHeight="1" x14ac:dyDescent="0.15">
      <c r="A21" s="133"/>
      <c r="B21" s="212"/>
      <c r="C21" s="34" t="s">
        <v>33</v>
      </c>
      <c r="D21" s="111">
        <v>900000</v>
      </c>
      <c r="E21" s="111">
        <f>I22</f>
        <v>900000</v>
      </c>
      <c r="F21" s="116">
        <f t="shared" si="1"/>
        <v>0</v>
      </c>
      <c r="G21" s="225">
        <f>F21/E21*100</f>
        <v>0</v>
      </c>
      <c r="H21" s="112" t="s">
        <v>33</v>
      </c>
      <c r="I21" s="131"/>
      <c r="L21" s="88"/>
    </row>
    <row r="22" spans="1:12" ht="20.100000000000001" customHeight="1" x14ac:dyDescent="0.15">
      <c r="A22" s="133"/>
      <c r="B22" s="212"/>
      <c r="C22" s="93"/>
      <c r="D22" s="113"/>
      <c r="E22" s="113"/>
      <c r="F22" s="110"/>
      <c r="G22" s="226"/>
      <c r="H22" s="117" t="s">
        <v>270</v>
      </c>
      <c r="I22" s="132">
        <f>100000*9</f>
        <v>900000</v>
      </c>
      <c r="L22" s="88"/>
    </row>
    <row r="23" spans="1:12" ht="20.100000000000001" customHeight="1" x14ac:dyDescent="0.15">
      <c r="A23" s="318" t="s">
        <v>35</v>
      </c>
      <c r="B23" s="319"/>
      <c r="C23" s="320"/>
      <c r="D23" s="115">
        <v>0</v>
      </c>
      <c r="E23" s="115">
        <f>I26+I24</f>
        <v>3600000</v>
      </c>
      <c r="F23" s="105">
        <f t="shared" si="1"/>
        <v>3600000</v>
      </c>
      <c r="G23" s="224">
        <f>F23/E23*100</f>
        <v>100</v>
      </c>
      <c r="H23" s="108" t="s">
        <v>35</v>
      </c>
      <c r="I23" s="130"/>
      <c r="L23" s="51"/>
    </row>
    <row r="24" spans="1:12" ht="20.100000000000001" customHeight="1" x14ac:dyDescent="0.15">
      <c r="A24" s="133"/>
      <c r="B24" s="321" t="s">
        <v>35</v>
      </c>
      <c r="C24" s="320"/>
      <c r="D24" s="29">
        <v>0</v>
      </c>
      <c r="E24" s="29">
        <f>I26</f>
        <v>3600000</v>
      </c>
      <c r="F24" s="110">
        <f t="shared" si="1"/>
        <v>3600000</v>
      </c>
      <c r="G24" s="224">
        <f>F24/E24*100</f>
        <v>100</v>
      </c>
      <c r="H24" s="108" t="s">
        <v>35</v>
      </c>
      <c r="I24" s="130">
        <v>0</v>
      </c>
      <c r="L24" s="88"/>
    </row>
    <row r="25" spans="1:12" ht="20.100000000000001" customHeight="1" x14ac:dyDescent="0.15">
      <c r="A25" s="299"/>
      <c r="B25" s="301"/>
      <c r="C25" s="34" t="s">
        <v>278</v>
      </c>
      <c r="D25" s="111">
        <v>0</v>
      </c>
      <c r="E25" s="111">
        <f>I26</f>
        <v>3600000</v>
      </c>
      <c r="F25" s="116">
        <f t="shared" ref="F25" si="2">E25-D25</f>
        <v>3600000</v>
      </c>
      <c r="G25" s="305">
        <f>F25/E25*100</f>
        <v>100</v>
      </c>
      <c r="H25" s="112" t="s">
        <v>278</v>
      </c>
      <c r="I25" s="131"/>
      <c r="L25" s="88"/>
    </row>
    <row r="26" spans="1:12" ht="20.100000000000001" customHeight="1" x14ac:dyDescent="0.15">
      <c r="A26" s="308"/>
      <c r="B26" s="137"/>
      <c r="C26" s="145"/>
      <c r="D26" s="304"/>
      <c r="E26" s="304"/>
      <c r="F26" s="122"/>
      <c r="G26" s="307"/>
      <c r="H26" s="164" t="s">
        <v>280</v>
      </c>
      <c r="I26" s="147">
        <f>300000*12</f>
        <v>3600000</v>
      </c>
      <c r="L26" s="88"/>
    </row>
    <row r="27" spans="1:12" ht="20.100000000000001" customHeight="1" x14ac:dyDescent="0.15">
      <c r="A27" s="322" t="s">
        <v>22</v>
      </c>
      <c r="B27" s="323"/>
      <c r="C27" s="324"/>
      <c r="D27" s="118">
        <v>7773997</v>
      </c>
      <c r="E27" s="118">
        <f>E28</f>
        <v>8032618</v>
      </c>
      <c r="F27" s="118">
        <f t="shared" si="1"/>
        <v>258621</v>
      </c>
      <c r="G27" s="236">
        <f>F27/E27*100</f>
        <v>3.2196352422087045</v>
      </c>
      <c r="H27" s="119" t="s">
        <v>22</v>
      </c>
      <c r="I27" s="138"/>
      <c r="K27" s="139"/>
    </row>
    <row r="28" spans="1:12" ht="20.100000000000001" customHeight="1" x14ac:dyDescent="0.15">
      <c r="A28" s="140"/>
      <c r="B28" s="141" t="s">
        <v>22</v>
      </c>
      <c r="C28" s="142"/>
      <c r="D28" s="110">
        <v>7773997</v>
      </c>
      <c r="E28" s="110">
        <f>E29+E31</f>
        <v>8032618</v>
      </c>
      <c r="F28" s="110">
        <f t="shared" si="1"/>
        <v>258621</v>
      </c>
      <c r="G28" s="231">
        <f>F28/E28*100</f>
        <v>3.2196352422087045</v>
      </c>
      <c r="H28" s="106" t="s">
        <v>22</v>
      </c>
      <c r="I28" s="136"/>
    </row>
    <row r="29" spans="1:12" ht="20.100000000000001" customHeight="1" x14ac:dyDescent="0.15">
      <c r="A29" s="140"/>
      <c r="B29" s="135"/>
      <c r="C29" s="93" t="s">
        <v>93</v>
      </c>
      <c r="D29" s="114">
        <v>30100</v>
      </c>
      <c r="E29" s="114">
        <f>I30</f>
        <v>30100</v>
      </c>
      <c r="F29" s="114">
        <f t="shared" si="1"/>
        <v>0</v>
      </c>
      <c r="G29" s="235">
        <f>F29/E29*100</f>
        <v>0</v>
      </c>
      <c r="H29" s="117" t="s">
        <v>93</v>
      </c>
      <c r="I29" s="132"/>
    </row>
    <row r="30" spans="1:12" ht="20.100000000000001" customHeight="1" x14ac:dyDescent="0.15">
      <c r="A30" s="92"/>
      <c r="B30" s="135"/>
      <c r="C30" s="134"/>
      <c r="D30" s="110"/>
      <c r="E30" s="110"/>
      <c r="F30" s="110"/>
      <c r="G30" s="233"/>
      <c r="H30" s="117" t="s">
        <v>223</v>
      </c>
      <c r="I30" s="132">
        <f>15050*2</f>
        <v>30100</v>
      </c>
    </row>
    <row r="31" spans="1:12" ht="20.100000000000001" customHeight="1" x14ac:dyDescent="0.15">
      <c r="A31" s="92"/>
      <c r="B31" s="93"/>
      <c r="C31" s="34" t="s">
        <v>34</v>
      </c>
      <c r="D31" s="116">
        <v>7743897</v>
      </c>
      <c r="E31" s="116">
        <f>I32+I33+I34</f>
        <v>8002518</v>
      </c>
      <c r="F31" s="116">
        <f t="shared" si="1"/>
        <v>258621</v>
      </c>
      <c r="G31" s="237">
        <f>F31/E31*100</f>
        <v>3.2317453081642551</v>
      </c>
      <c r="H31" s="112" t="s">
        <v>34</v>
      </c>
      <c r="I31" s="131"/>
    </row>
    <row r="32" spans="1:12" ht="20.100000000000001" customHeight="1" x14ac:dyDescent="0.15">
      <c r="A32" s="92"/>
      <c r="B32" s="135"/>
      <c r="C32" s="93"/>
      <c r="D32" s="114"/>
      <c r="E32" s="114"/>
      <c r="F32" s="114"/>
      <c r="G32" s="235"/>
      <c r="H32" s="117" t="s">
        <v>147</v>
      </c>
      <c r="I32" s="132">
        <f>50000*10*12</f>
        <v>6000000</v>
      </c>
    </row>
    <row r="33" spans="1:9" ht="20.100000000000001" customHeight="1" x14ac:dyDescent="0.15">
      <c r="A33" s="92"/>
      <c r="B33" s="135"/>
      <c r="C33" s="93"/>
      <c r="D33" s="114"/>
      <c r="E33" s="114"/>
      <c r="F33" s="114"/>
      <c r="G33" s="235"/>
      <c r="H33" s="117" t="s">
        <v>211</v>
      </c>
      <c r="I33" s="132">
        <f>150000*12</f>
        <v>1800000</v>
      </c>
    </row>
    <row r="34" spans="1:9" ht="20.100000000000001" customHeight="1" x14ac:dyDescent="0.15">
      <c r="A34" s="92"/>
      <c r="B34" s="135"/>
      <c r="C34" s="93"/>
      <c r="D34" s="114"/>
      <c r="E34" s="114"/>
      <c r="F34" s="114"/>
      <c r="G34" s="235"/>
      <c r="H34" s="117" t="s">
        <v>272</v>
      </c>
      <c r="I34" s="132">
        <v>202518</v>
      </c>
    </row>
    <row r="35" spans="1:9" ht="20.100000000000001" customHeight="1" x14ac:dyDescent="0.15">
      <c r="A35" s="209" t="s">
        <v>20</v>
      </c>
      <c r="B35" s="210"/>
      <c r="C35" s="208"/>
      <c r="D35" s="107">
        <v>13864363</v>
      </c>
      <c r="E35" s="107">
        <f>E36</f>
        <v>25131870</v>
      </c>
      <c r="F35" s="107">
        <f>E35-D35</f>
        <v>11267507</v>
      </c>
      <c r="G35" s="238">
        <f>F35/E35*100</f>
        <v>44.833540042981284</v>
      </c>
      <c r="H35" s="259" t="s">
        <v>229</v>
      </c>
      <c r="I35" s="130"/>
    </row>
    <row r="36" spans="1:9" ht="20.100000000000001" customHeight="1" x14ac:dyDescent="0.15">
      <c r="A36" s="92"/>
      <c r="B36" s="207" t="s">
        <v>21</v>
      </c>
      <c r="C36" s="208"/>
      <c r="D36" s="109">
        <v>13864363</v>
      </c>
      <c r="E36" s="109">
        <f>E37</f>
        <v>25131870</v>
      </c>
      <c r="F36" s="110">
        <f t="shared" si="0"/>
        <v>11267507</v>
      </c>
      <c r="G36" s="231">
        <f>F36/E36*100</f>
        <v>44.833540042981284</v>
      </c>
      <c r="H36" s="108" t="s">
        <v>110</v>
      </c>
      <c r="I36" s="130"/>
    </row>
    <row r="37" spans="1:9" ht="20.100000000000001" customHeight="1" x14ac:dyDescent="0.15">
      <c r="A37" s="92"/>
      <c r="B37" s="143"/>
      <c r="C37" s="34" t="s">
        <v>110</v>
      </c>
      <c r="D37" s="116">
        <v>13864363</v>
      </c>
      <c r="E37" s="116">
        <f>I40+I39+I38</f>
        <v>25131870</v>
      </c>
      <c r="F37" s="114">
        <f t="shared" si="0"/>
        <v>11267507</v>
      </c>
      <c r="G37" s="237">
        <f>F37/E37*100</f>
        <v>44.833540042981284</v>
      </c>
      <c r="H37" s="306" t="s">
        <v>110</v>
      </c>
      <c r="I37" s="132"/>
    </row>
    <row r="38" spans="1:9" ht="20.100000000000001" customHeight="1" x14ac:dyDescent="0.15">
      <c r="A38" s="92"/>
      <c r="B38" s="135"/>
      <c r="C38" s="135"/>
      <c r="D38" s="114"/>
      <c r="E38" s="114"/>
      <c r="F38" s="114"/>
      <c r="G38" s="232"/>
      <c r="H38" s="120" t="s">
        <v>243</v>
      </c>
      <c r="I38" s="132">
        <f>24180000*1</f>
        <v>24180000</v>
      </c>
    </row>
    <row r="39" spans="1:9" ht="20.100000000000001" customHeight="1" x14ac:dyDescent="0.15">
      <c r="A39" s="92"/>
      <c r="B39" s="135"/>
      <c r="C39" s="135"/>
      <c r="D39" s="114"/>
      <c r="E39" s="114"/>
      <c r="F39" s="114"/>
      <c r="G39" s="235"/>
      <c r="H39" s="121" t="s">
        <v>169</v>
      </c>
      <c r="I39" s="132">
        <f>476026*1</f>
        <v>476026</v>
      </c>
    </row>
    <row r="40" spans="1:9" ht="20.100000000000001" customHeight="1" x14ac:dyDescent="0.15">
      <c r="A40" s="144"/>
      <c r="B40" s="145"/>
      <c r="C40" s="146"/>
      <c r="D40" s="122"/>
      <c r="E40" s="122"/>
      <c r="F40" s="122"/>
      <c r="G40" s="239"/>
      <c r="H40" s="123" t="s">
        <v>170</v>
      </c>
      <c r="I40" s="147">
        <f>475844*1</f>
        <v>475844</v>
      </c>
    </row>
    <row r="41" spans="1:9" x14ac:dyDescent="0.15">
      <c r="A41" s="125"/>
      <c r="B41" s="125"/>
      <c r="C41" s="125"/>
      <c r="D41" s="148"/>
      <c r="E41" s="124"/>
      <c r="F41" s="124"/>
      <c r="G41" s="228"/>
      <c r="H41" s="125"/>
    </row>
    <row r="42" spans="1:9" x14ac:dyDescent="0.15">
      <c r="A42" s="125"/>
      <c r="B42" s="125"/>
      <c r="C42" s="125"/>
      <c r="D42" s="124"/>
      <c r="E42" s="124"/>
      <c r="F42" s="124"/>
      <c r="G42" s="228"/>
      <c r="H42" s="125"/>
    </row>
    <row r="43" spans="1:9" x14ac:dyDescent="0.15">
      <c r="A43" s="125"/>
      <c r="B43" s="125"/>
      <c r="C43" s="125"/>
      <c r="D43" s="124"/>
      <c r="E43" s="124"/>
      <c r="F43" s="124"/>
      <c r="G43" s="228"/>
      <c r="H43" s="125"/>
    </row>
  </sheetData>
  <customSheetViews>
    <customSheetView guid="{29BE6789-D580-482F-AE13-9E62D887C1AB}" showPageBreaks="1" printArea="1" view="pageBreakPreview" topLeftCell="B19">
      <selection activeCell="H143" sqref="H143"/>
      <rowBreaks count="1" manualBreakCount="1">
        <brk id="26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20">
    <mergeCell ref="B12:C12"/>
    <mergeCell ref="A11:C11"/>
    <mergeCell ref="A1:H1"/>
    <mergeCell ref="A3:C3"/>
    <mergeCell ref="H3:I3"/>
    <mergeCell ref="A4:C4"/>
    <mergeCell ref="D4:D5"/>
    <mergeCell ref="E4:E5"/>
    <mergeCell ref="F4:G4"/>
    <mergeCell ref="H4:I5"/>
    <mergeCell ref="A6:C6"/>
    <mergeCell ref="A7:C7"/>
    <mergeCell ref="A8:A10"/>
    <mergeCell ref="B8:C8"/>
    <mergeCell ref="B9:B10"/>
    <mergeCell ref="A18:C18"/>
    <mergeCell ref="B19:C19"/>
    <mergeCell ref="A23:C23"/>
    <mergeCell ref="B24:C24"/>
    <mergeCell ref="A27:C27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69" firstPageNumber="3" fitToWidth="0" fitToHeight="0" orientation="landscape" useFirstPageNumber="1" r:id="rId2"/>
  <headerFooter alignWithMargins="0">
    <oddFooter xml:space="preserve">&amp;R참좋은기억학교(2023. 12. 04.)
</oddFooter>
  </headerFooter>
  <rowBreaks count="1" manualBreakCount="1">
    <brk id="2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view="pageBreakPreview" topLeftCell="A136" zoomScaleNormal="100" zoomScaleSheetLayoutView="100" workbookViewId="0">
      <selection activeCell="C133" sqref="C133:C134"/>
    </sheetView>
  </sheetViews>
  <sheetFormatPr defaultRowHeight="13.5" x14ac:dyDescent="0.15"/>
  <cols>
    <col min="1" max="1" width="9.44140625" style="33" customWidth="1"/>
    <col min="2" max="2" width="10.21875" style="33" customWidth="1"/>
    <col min="3" max="3" width="12.6640625" style="33" customWidth="1"/>
    <col min="4" max="4" width="12.6640625" style="51" customWidth="1"/>
    <col min="5" max="5" width="13" style="83" customWidth="1"/>
    <col min="6" max="6" width="11.77734375" style="90" customWidth="1"/>
    <col min="7" max="7" width="10.109375" style="257" customWidth="1"/>
    <col min="8" max="8" width="40.33203125" style="33" customWidth="1"/>
    <col min="9" max="9" width="22.33203125" style="59" bestFit="1" customWidth="1"/>
    <col min="10" max="10" width="14.44140625" style="33" bestFit="1" customWidth="1"/>
    <col min="11" max="11" width="20.77734375" style="33" bestFit="1" customWidth="1"/>
    <col min="12" max="12" width="15" style="62" bestFit="1" customWidth="1"/>
    <col min="13" max="13" width="15.5546875" style="33" bestFit="1" customWidth="1"/>
    <col min="14" max="16384" width="8.88671875" style="33"/>
  </cols>
  <sheetData>
    <row r="1" spans="1:13" s="38" customFormat="1" ht="20.100000000000001" customHeight="1" x14ac:dyDescent="0.15">
      <c r="A1" s="325" t="s">
        <v>167</v>
      </c>
      <c r="B1" s="325"/>
      <c r="C1" s="325"/>
      <c r="D1" s="325"/>
      <c r="E1" s="325"/>
      <c r="F1" s="325"/>
      <c r="G1" s="325"/>
      <c r="H1" s="325"/>
      <c r="I1" s="74"/>
      <c r="L1" s="74"/>
    </row>
    <row r="2" spans="1:13" s="38" customFormat="1" ht="20.100000000000001" customHeight="1" x14ac:dyDescent="0.15">
      <c r="A2" s="71"/>
      <c r="B2" s="71"/>
      <c r="C2" s="72"/>
      <c r="D2" s="73"/>
      <c r="E2" s="82"/>
      <c r="F2" s="89"/>
      <c r="G2" s="241"/>
      <c r="I2" s="74"/>
      <c r="L2" s="74"/>
    </row>
    <row r="3" spans="1:13" s="125" customFormat="1" ht="20.100000000000001" customHeight="1" x14ac:dyDescent="0.15">
      <c r="A3" s="326" t="s">
        <v>201</v>
      </c>
      <c r="B3" s="326"/>
      <c r="C3" s="326"/>
      <c r="D3" s="124"/>
      <c r="E3" s="149"/>
      <c r="F3" s="99"/>
      <c r="G3" s="242"/>
      <c r="H3" s="328" t="s">
        <v>12</v>
      </c>
      <c r="I3" s="329"/>
      <c r="L3" s="126"/>
    </row>
    <row r="4" spans="1:13" s="125" customFormat="1" ht="20.100000000000001" customHeight="1" x14ac:dyDescent="0.15">
      <c r="A4" s="313" t="s">
        <v>13</v>
      </c>
      <c r="B4" s="334"/>
      <c r="C4" s="334"/>
      <c r="D4" s="332" t="str">
        <f>최초예산총괄!C4</f>
        <v>2023년 결산추경
(A)</v>
      </c>
      <c r="E4" s="332" t="str">
        <f>최초예산총괄!D4</f>
        <v>2024년 최초예산
(B)</v>
      </c>
      <c r="F4" s="334" t="s">
        <v>4</v>
      </c>
      <c r="G4" s="334"/>
      <c r="H4" s="335" t="s">
        <v>14</v>
      </c>
      <c r="I4" s="336"/>
      <c r="L4" s="126"/>
    </row>
    <row r="5" spans="1:13" s="125" customFormat="1" ht="24.75" customHeight="1" thickBot="1" x14ac:dyDescent="0.2">
      <c r="A5" s="7" t="s">
        <v>15</v>
      </c>
      <c r="B5" s="128" t="s">
        <v>16</v>
      </c>
      <c r="C5" s="128" t="s">
        <v>17</v>
      </c>
      <c r="D5" s="333"/>
      <c r="E5" s="333"/>
      <c r="F5" s="103" t="s">
        <v>165</v>
      </c>
      <c r="G5" s="243" t="s">
        <v>18</v>
      </c>
      <c r="H5" s="337"/>
      <c r="I5" s="338"/>
      <c r="J5" s="102"/>
      <c r="K5" s="124"/>
      <c r="L5" s="126"/>
    </row>
    <row r="6" spans="1:13" s="125" customFormat="1" ht="20.100000000000001" customHeight="1" thickTop="1" x14ac:dyDescent="0.15">
      <c r="A6" s="344" t="s">
        <v>19</v>
      </c>
      <c r="B6" s="345"/>
      <c r="C6" s="345"/>
      <c r="D6" s="104">
        <v>452299999.90333748</v>
      </c>
      <c r="E6" s="150">
        <f>E7+E85+E96+E149</f>
        <v>491800000.13514787</v>
      </c>
      <c r="F6" s="104">
        <f>E6-D6</f>
        <v>39500000.231810391</v>
      </c>
      <c r="G6" s="219">
        <f>F6/E6*100</f>
        <v>8.0317202563960333</v>
      </c>
      <c r="H6" s="151"/>
      <c r="I6" s="132"/>
      <c r="J6" s="124"/>
      <c r="K6" s="124"/>
      <c r="L6" s="126"/>
    </row>
    <row r="7" spans="1:13" s="125" customFormat="1" ht="20.100000000000001" customHeight="1" x14ac:dyDescent="0.15">
      <c r="A7" s="209" t="s">
        <v>23</v>
      </c>
      <c r="B7" s="181"/>
      <c r="C7" s="208"/>
      <c r="D7" s="153">
        <v>398934632.90333748</v>
      </c>
      <c r="E7" s="152">
        <f>E8+E48+E57</f>
        <v>432219712.13514787</v>
      </c>
      <c r="F7" s="153">
        <f t="shared" ref="F7:F153" si="0">E7-D7</f>
        <v>33285079.231810391</v>
      </c>
      <c r="G7" s="219">
        <f>F7/E7*100</f>
        <v>7.7009627967645082</v>
      </c>
      <c r="H7" s="154" t="s">
        <v>23</v>
      </c>
      <c r="I7" s="130"/>
      <c r="J7" s="124"/>
      <c r="K7" s="124"/>
      <c r="L7" s="126"/>
      <c r="M7" s="182"/>
    </row>
    <row r="8" spans="1:13" s="125" customFormat="1" ht="20.25" customHeight="1" x14ac:dyDescent="0.15">
      <c r="A8" s="92"/>
      <c r="B8" s="207" t="s">
        <v>24</v>
      </c>
      <c r="C8" s="208"/>
      <c r="D8" s="156">
        <v>347045432.90333748</v>
      </c>
      <c r="E8" s="155">
        <f>E9+E26+E35+E37+E43</f>
        <v>375530512.13514787</v>
      </c>
      <c r="F8" s="156">
        <f t="shared" si="0"/>
        <v>28485079.231810391</v>
      </c>
      <c r="G8" s="220">
        <f>F8/E8*100</f>
        <v>7.5852902257803851</v>
      </c>
      <c r="H8" s="157" t="s">
        <v>24</v>
      </c>
      <c r="I8" s="130"/>
      <c r="L8" s="126"/>
    </row>
    <row r="9" spans="1:13" s="125" customFormat="1" ht="20.100000000000001" customHeight="1" x14ac:dyDescent="0.15">
      <c r="A9" s="92"/>
      <c r="B9" s="93"/>
      <c r="C9" s="34" t="s">
        <v>37</v>
      </c>
      <c r="D9" s="165">
        <v>254333160</v>
      </c>
      <c r="E9" s="158">
        <f>I9</f>
        <v>274471556</v>
      </c>
      <c r="F9" s="165">
        <f>E9-D9</f>
        <v>20138396</v>
      </c>
      <c r="G9" s="244">
        <f>F9/E9*100</f>
        <v>7.3371522694322469</v>
      </c>
      <c r="H9" s="159" t="s">
        <v>38</v>
      </c>
      <c r="I9" s="298">
        <f>SUM(I10:I25)</f>
        <v>274471556</v>
      </c>
      <c r="J9" s="126"/>
      <c r="K9" s="124"/>
      <c r="L9" s="126"/>
    </row>
    <row r="10" spans="1:13" s="125" customFormat="1" ht="20.100000000000001" customHeight="1" x14ac:dyDescent="0.15">
      <c r="A10" s="92"/>
      <c r="B10" s="93"/>
      <c r="C10" s="93"/>
      <c r="D10" s="171"/>
      <c r="E10" s="160"/>
      <c r="F10" s="161"/>
      <c r="G10" s="245"/>
      <c r="H10" s="117" t="s">
        <v>191</v>
      </c>
      <c r="I10" s="132">
        <f>3747093*1</f>
        <v>3747093</v>
      </c>
      <c r="J10" s="124"/>
      <c r="K10" s="124"/>
      <c r="L10" s="126"/>
    </row>
    <row r="11" spans="1:13" s="125" customFormat="1" ht="20.100000000000001" customHeight="1" x14ac:dyDescent="0.15">
      <c r="A11" s="92"/>
      <c r="B11" s="93"/>
      <c r="C11" s="93"/>
      <c r="D11" s="171"/>
      <c r="E11" s="160"/>
      <c r="F11" s="161"/>
      <c r="G11" s="245"/>
      <c r="H11" s="117" t="s">
        <v>192</v>
      </c>
      <c r="I11" s="132">
        <f>4203833*11</f>
        <v>46242163</v>
      </c>
      <c r="J11" s="102"/>
      <c r="L11" s="126"/>
    </row>
    <row r="12" spans="1:13" s="125" customFormat="1" ht="20.100000000000001" customHeight="1" x14ac:dyDescent="0.15">
      <c r="A12" s="92"/>
      <c r="B12" s="93"/>
      <c r="C12" s="93"/>
      <c r="D12" s="171"/>
      <c r="E12" s="160"/>
      <c r="F12" s="161"/>
      <c r="G12" s="245"/>
      <c r="H12" s="117" t="s">
        <v>193</v>
      </c>
      <c r="I12" s="132">
        <f>2839353*9</f>
        <v>25554177</v>
      </c>
      <c r="J12" s="102"/>
      <c r="L12" s="126"/>
    </row>
    <row r="13" spans="1:13" s="125" customFormat="1" ht="20.100000000000001" customHeight="1" x14ac:dyDescent="0.15">
      <c r="A13" s="92"/>
      <c r="B13" s="93"/>
      <c r="C13" s="93"/>
      <c r="D13" s="171"/>
      <c r="E13" s="160"/>
      <c r="F13" s="161"/>
      <c r="G13" s="245"/>
      <c r="H13" s="117" t="s">
        <v>194</v>
      </c>
      <c r="I13" s="132">
        <f>2933038*3</f>
        <v>8799114</v>
      </c>
      <c r="J13" s="102"/>
      <c r="L13" s="126"/>
    </row>
    <row r="14" spans="1:13" s="125" customFormat="1" ht="20.100000000000001" customHeight="1" x14ac:dyDescent="0.15">
      <c r="A14" s="92"/>
      <c r="B14" s="93"/>
      <c r="C14" s="93"/>
      <c r="D14" s="171"/>
      <c r="E14" s="160"/>
      <c r="F14" s="161"/>
      <c r="G14" s="245"/>
      <c r="H14" s="117" t="s">
        <v>218</v>
      </c>
      <c r="I14" s="132">
        <f>2204878*2</f>
        <v>4409756</v>
      </c>
      <c r="J14" s="102"/>
      <c r="L14" s="126"/>
    </row>
    <row r="15" spans="1:13" s="125" customFormat="1" ht="20.100000000000001" customHeight="1" x14ac:dyDescent="0.15">
      <c r="A15" s="92"/>
      <c r="B15" s="93"/>
      <c r="C15" s="93"/>
      <c r="D15" s="171"/>
      <c r="E15" s="160"/>
      <c r="F15" s="161"/>
      <c r="G15" s="245"/>
      <c r="H15" s="117" t="s">
        <v>219</v>
      </c>
      <c r="I15" s="132">
        <f>2262073*10</f>
        <v>22620730</v>
      </c>
      <c r="J15" s="102"/>
      <c r="L15" s="126"/>
    </row>
    <row r="16" spans="1:13" s="125" customFormat="1" ht="20.100000000000001" customHeight="1" x14ac:dyDescent="0.15">
      <c r="A16" s="92"/>
      <c r="B16" s="93"/>
      <c r="C16" s="93"/>
      <c r="D16" s="171"/>
      <c r="E16" s="160"/>
      <c r="F16" s="161"/>
      <c r="G16" s="245"/>
      <c r="H16" s="117" t="s">
        <v>220</v>
      </c>
      <c r="I16" s="132">
        <f>2470250*11</f>
        <v>27172750</v>
      </c>
      <c r="J16" s="102"/>
      <c r="L16" s="126"/>
    </row>
    <row r="17" spans="1:12" s="125" customFormat="1" ht="20.100000000000001" customHeight="1" x14ac:dyDescent="0.15">
      <c r="A17" s="92"/>
      <c r="B17" s="93"/>
      <c r="C17" s="93"/>
      <c r="D17" s="171"/>
      <c r="E17" s="160"/>
      <c r="F17" s="161"/>
      <c r="G17" s="245"/>
      <c r="H17" s="117" t="s">
        <v>221</v>
      </c>
      <c r="I17" s="132">
        <f>2567933*1</f>
        <v>2567933</v>
      </c>
      <c r="J17" s="102"/>
      <c r="L17" s="126"/>
    </row>
    <row r="18" spans="1:12" s="125" customFormat="1" ht="20.100000000000001" customHeight="1" x14ac:dyDescent="0.15">
      <c r="A18" s="92"/>
      <c r="B18" s="93"/>
      <c r="C18" s="93"/>
      <c r="D18" s="171"/>
      <c r="E18" s="160"/>
      <c r="F18" s="161"/>
      <c r="G18" s="245"/>
      <c r="H18" s="117" t="s">
        <v>232</v>
      </c>
      <c r="I18" s="132">
        <f>2659875*8</f>
        <v>21279000</v>
      </c>
      <c r="J18" s="102"/>
      <c r="L18" s="126"/>
    </row>
    <row r="19" spans="1:12" s="125" customFormat="1" ht="20.100000000000001" customHeight="1" x14ac:dyDescent="0.15">
      <c r="A19" s="92"/>
      <c r="B19" s="93"/>
      <c r="C19" s="93"/>
      <c r="D19" s="171"/>
      <c r="E19" s="160"/>
      <c r="F19" s="161"/>
      <c r="G19" s="245"/>
      <c r="H19" s="117" t="s">
        <v>233</v>
      </c>
      <c r="I19" s="132">
        <f>2740133*4</f>
        <v>10960532</v>
      </c>
      <c r="J19" s="102"/>
      <c r="L19" s="126"/>
    </row>
    <row r="20" spans="1:12" s="125" customFormat="1" ht="20.100000000000001" customHeight="1" x14ac:dyDescent="0.15">
      <c r="A20" s="92"/>
      <c r="B20" s="93"/>
      <c r="C20" s="93"/>
      <c r="D20" s="171"/>
      <c r="E20" s="160"/>
      <c r="F20" s="161"/>
      <c r="G20" s="245"/>
      <c r="H20" s="117" t="s">
        <v>231</v>
      </c>
      <c r="I20" s="132">
        <f>2470250*8</f>
        <v>19762000</v>
      </c>
      <c r="J20" s="102"/>
      <c r="L20" s="126"/>
    </row>
    <row r="21" spans="1:12" s="125" customFormat="1" ht="20.100000000000001" customHeight="1" x14ac:dyDescent="0.15">
      <c r="A21" s="92"/>
      <c r="B21" s="93"/>
      <c r="C21" s="93"/>
      <c r="D21" s="171"/>
      <c r="E21" s="160"/>
      <c r="F21" s="161"/>
      <c r="G21" s="246"/>
      <c r="H21" s="117" t="s">
        <v>234</v>
      </c>
      <c r="I21" s="132">
        <f>2567933*4</f>
        <v>10271732</v>
      </c>
      <c r="J21" s="102"/>
      <c r="L21" s="126"/>
    </row>
    <row r="22" spans="1:12" s="125" customFormat="1" ht="20.100000000000001" customHeight="1" x14ac:dyDescent="0.15">
      <c r="A22" s="92"/>
      <c r="B22" s="93"/>
      <c r="C22" s="93"/>
      <c r="D22" s="171"/>
      <c r="E22" s="160"/>
      <c r="F22" s="161"/>
      <c r="G22" s="245"/>
      <c r="H22" s="117" t="s">
        <v>197</v>
      </c>
      <c r="I22" s="132">
        <f>2180278*8</f>
        <v>17442224</v>
      </c>
      <c r="J22" s="102"/>
      <c r="L22" s="126"/>
    </row>
    <row r="23" spans="1:12" s="125" customFormat="1" ht="20.100000000000001" customHeight="1" x14ac:dyDescent="0.15">
      <c r="A23" s="92"/>
      <c r="B23" s="93"/>
      <c r="C23" s="93"/>
      <c r="D23" s="171"/>
      <c r="E23" s="160"/>
      <c r="F23" s="161"/>
      <c r="G23" s="245"/>
      <c r="H23" s="117" t="s">
        <v>198</v>
      </c>
      <c r="I23" s="132">
        <f>2232963*4</f>
        <v>8931852</v>
      </c>
      <c r="J23" s="102"/>
      <c r="L23" s="126"/>
    </row>
    <row r="24" spans="1:12" s="125" customFormat="1" ht="20.100000000000001" customHeight="1" x14ac:dyDescent="0.15">
      <c r="A24" s="92"/>
      <c r="B24" s="93"/>
      <c r="C24" s="93"/>
      <c r="D24" s="171"/>
      <c r="E24" s="160"/>
      <c r="F24" s="161"/>
      <c r="G24" s="245"/>
      <c r="H24" s="117" t="s">
        <v>199</v>
      </c>
      <c r="I24" s="132">
        <f>2116625*12*1</f>
        <v>25399500</v>
      </c>
      <c r="J24" s="102"/>
      <c r="L24" s="126"/>
    </row>
    <row r="25" spans="1:12" s="125" customFormat="1" ht="20.100000000000001" customHeight="1" x14ac:dyDescent="0.15">
      <c r="A25" s="144"/>
      <c r="B25" s="145"/>
      <c r="C25" s="145"/>
      <c r="D25" s="170"/>
      <c r="E25" s="162"/>
      <c r="F25" s="163"/>
      <c r="G25" s="247"/>
      <c r="H25" s="164" t="s">
        <v>200</v>
      </c>
      <c r="I25" s="147">
        <f>1609250*12*1</f>
        <v>19311000</v>
      </c>
      <c r="J25" s="102"/>
      <c r="L25" s="126"/>
    </row>
    <row r="26" spans="1:12" s="125" customFormat="1" ht="20.100000000000001" customHeight="1" x14ac:dyDescent="0.15">
      <c r="A26" s="92"/>
      <c r="B26" s="93"/>
      <c r="C26" s="93" t="s">
        <v>39</v>
      </c>
      <c r="D26" s="171">
        <v>36413700</v>
      </c>
      <c r="E26" s="160">
        <f>I28+I30+I32+I34</f>
        <v>39560652</v>
      </c>
      <c r="F26" s="171">
        <f>E26-D26</f>
        <v>3146952</v>
      </c>
      <c r="G26" s="248">
        <f>F26/E26*100</f>
        <v>7.954752616311783</v>
      </c>
      <c r="H26" s="117" t="s">
        <v>39</v>
      </c>
      <c r="I26" s="132"/>
      <c r="K26" s="124"/>
      <c r="L26" s="126"/>
    </row>
    <row r="27" spans="1:12" s="125" customFormat="1" ht="20.100000000000001" customHeight="1" x14ac:dyDescent="0.15">
      <c r="A27" s="140"/>
      <c r="B27" s="93"/>
      <c r="C27" s="93"/>
      <c r="D27" s="171"/>
      <c r="E27" s="160"/>
      <c r="F27" s="161"/>
      <c r="G27" s="245"/>
      <c r="H27" s="117" t="s">
        <v>202</v>
      </c>
      <c r="I27" s="132"/>
      <c r="L27" s="126"/>
    </row>
    <row r="28" spans="1:12" s="125" customFormat="1" ht="20.100000000000001" customHeight="1" x14ac:dyDescent="0.15">
      <c r="A28" s="92"/>
      <c r="B28" s="93"/>
      <c r="C28" s="93"/>
      <c r="D28" s="171"/>
      <c r="E28" s="160"/>
      <c r="F28" s="161"/>
      <c r="G28" s="245"/>
      <c r="H28" s="166" t="s">
        <v>203</v>
      </c>
      <c r="I28" s="132">
        <f>13578001*2</f>
        <v>27156002</v>
      </c>
      <c r="J28" s="102"/>
      <c r="L28" s="126"/>
    </row>
    <row r="29" spans="1:12" s="125" customFormat="1" ht="20.100000000000001" customHeight="1" x14ac:dyDescent="0.15">
      <c r="A29" s="140"/>
      <c r="B29" s="93"/>
      <c r="C29" s="93"/>
      <c r="D29" s="171"/>
      <c r="E29" s="160"/>
      <c r="F29" s="161"/>
      <c r="G29" s="245"/>
      <c r="H29" s="117" t="s">
        <v>204</v>
      </c>
      <c r="I29" s="132"/>
      <c r="J29" s="182"/>
      <c r="L29" s="126"/>
    </row>
    <row r="30" spans="1:12" s="125" customFormat="1" ht="19.5" customHeight="1" x14ac:dyDescent="0.15">
      <c r="A30" s="92"/>
      <c r="B30" s="93"/>
      <c r="C30" s="93"/>
      <c r="D30" s="171"/>
      <c r="E30" s="160"/>
      <c r="F30" s="161"/>
      <c r="G30" s="245"/>
      <c r="H30" s="117" t="s">
        <v>205</v>
      </c>
      <c r="I30" s="132">
        <f>960000*4</f>
        <v>3840000</v>
      </c>
      <c r="K30" s="124"/>
      <c r="L30" s="126"/>
    </row>
    <row r="31" spans="1:12" s="125" customFormat="1" ht="20.100000000000001" customHeight="1" x14ac:dyDescent="0.15">
      <c r="A31" s="92"/>
      <c r="B31" s="93"/>
      <c r="C31" s="93"/>
      <c r="D31" s="171"/>
      <c r="E31" s="160"/>
      <c r="F31" s="161"/>
      <c r="G31" s="249"/>
      <c r="H31" s="117" t="s">
        <v>235</v>
      </c>
      <c r="I31" s="132"/>
      <c r="L31" s="126"/>
    </row>
    <row r="32" spans="1:12" s="125" customFormat="1" ht="20.100000000000001" customHeight="1" x14ac:dyDescent="0.15">
      <c r="A32" s="92"/>
      <c r="B32" s="93"/>
      <c r="C32" s="93"/>
      <c r="D32" s="171"/>
      <c r="E32" s="160"/>
      <c r="F32" s="161"/>
      <c r="G32" s="245"/>
      <c r="H32" s="117" t="s">
        <v>138</v>
      </c>
      <c r="I32" s="132">
        <f>7364650</f>
        <v>7364650</v>
      </c>
      <c r="J32" s="102"/>
      <c r="L32" s="126"/>
    </row>
    <row r="33" spans="1:12" s="125" customFormat="1" ht="20.100000000000001" customHeight="1" x14ac:dyDescent="0.15">
      <c r="A33" s="92"/>
      <c r="B33" s="93"/>
      <c r="C33" s="93"/>
      <c r="D33" s="171"/>
      <c r="E33" s="160"/>
      <c r="F33" s="161"/>
      <c r="G33" s="245"/>
      <c r="H33" s="117" t="s">
        <v>210</v>
      </c>
      <c r="I33" s="132"/>
      <c r="J33" s="126"/>
      <c r="L33" s="126"/>
    </row>
    <row r="34" spans="1:12" s="125" customFormat="1" ht="20.100000000000001" customHeight="1" x14ac:dyDescent="0.15">
      <c r="A34" s="92"/>
      <c r="B34" s="93"/>
      <c r="C34" s="93"/>
      <c r="D34" s="171"/>
      <c r="E34" s="160"/>
      <c r="F34" s="161"/>
      <c r="G34" s="245"/>
      <c r="H34" s="117" t="s">
        <v>206</v>
      </c>
      <c r="I34" s="132">
        <f>50000*12*2</f>
        <v>1200000</v>
      </c>
      <c r="J34" s="126"/>
      <c r="L34" s="126"/>
    </row>
    <row r="35" spans="1:12" s="125" customFormat="1" ht="20.100000000000001" customHeight="1" x14ac:dyDescent="0.15">
      <c r="A35" s="92"/>
      <c r="B35" s="93"/>
      <c r="C35" s="183" t="s">
        <v>67</v>
      </c>
      <c r="D35" s="165">
        <v>24303825</v>
      </c>
      <c r="E35" s="158">
        <f>I36</f>
        <v>26469350.666666668</v>
      </c>
      <c r="F35" s="165">
        <f>E35-D35</f>
        <v>2165525.6666666679</v>
      </c>
      <c r="G35" s="244">
        <f>F35/E35*100</f>
        <v>8.1812572357271822</v>
      </c>
      <c r="H35" s="112" t="s">
        <v>67</v>
      </c>
      <c r="I35" s="131"/>
      <c r="L35" s="126"/>
    </row>
    <row r="36" spans="1:12" s="125" customFormat="1" ht="20.100000000000001" customHeight="1" x14ac:dyDescent="0.15">
      <c r="A36" s="92"/>
      <c r="B36" s="93"/>
      <c r="C36" s="93"/>
      <c r="D36" s="171"/>
      <c r="E36" s="160"/>
      <c r="F36" s="161"/>
      <c r="G36" s="250"/>
      <c r="H36" s="117" t="s">
        <v>261</v>
      </c>
      <c r="I36" s="136">
        <f>317632208/12</f>
        <v>26469350.666666668</v>
      </c>
      <c r="J36" s="102"/>
      <c r="K36" s="102"/>
      <c r="L36" s="126"/>
    </row>
    <row r="37" spans="1:12" s="125" customFormat="1" ht="20.100000000000001" customHeight="1" x14ac:dyDescent="0.15">
      <c r="A37" s="92"/>
      <c r="B37" s="93"/>
      <c r="C37" s="34" t="s">
        <v>40</v>
      </c>
      <c r="D37" s="165">
        <v>29654747.903337501</v>
      </c>
      <c r="E37" s="158">
        <f>SUM(I38:I42)</f>
        <v>32318953.468481198</v>
      </c>
      <c r="F37" s="165">
        <f>E37-D37</f>
        <v>2664205.565143697</v>
      </c>
      <c r="G37" s="244">
        <f>F37/E37*100</f>
        <v>8.2434772145142077</v>
      </c>
      <c r="H37" s="112" t="s">
        <v>41</v>
      </c>
      <c r="I37" s="132"/>
      <c r="J37" s="102"/>
      <c r="K37" s="102"/>
      <c r="L37" s="126"/>
    </row>
    <row r="38" spans="1:12" s="125" customFormat="1" ht="20.100000000000001" customHeight="1" x14ac:dyDescent="0.15">
      <c r="A38" s="92"/>
      <c r="B38" s="93"/>
      <c r="C38" s="93"/>
      <c r="D38" s="171"/>
      <c r="E38" s="160"/>
      <c r="F38" s="161"/>
      <c r="G38" s="245"/>
      <c r="H38" s="120" t="s">
        <v>262</v>
      </c>
      <c r="I38" s="132">
        <f>317632208*4.5%+1</f>
        <v>14293450.359999999</v>
      </c>
      <c r="J38" s="124"/>
      <c r="K38" s="102"/>
      <c r="L38" s="126"/>
    </row>
    <row r="39" spans="1:12" s="125" customFormat="1" ht="20.100000000000001" customHeight="1" x14ac:dyDescent="0.15">
      <c r="A39" s="92"/>
      <c r="B39" s="93"/>
      <c r="C39" s="135"/>
      <c r="D39" s="184"/>
      <c r="E39" s="160"/>
      <c r="F39" s="161"/>
      <c r="G39" s="245"/>
      <c r="H39" s="166" t="s">
        <v>263</v>
      </c>
      <c r="I39" s="132">
        <f>317632208*3.545%</f>
        <v>11260061.773600001</v>
      </c>
      <c r="J39" s="102"/>
      <c r="K39" s="102"/>
      <c r="L39" s="126"/>
    </row>
    <row r="40" spans="1:12" s="125" customFormat="1" ht="20.100000000000001" customHeight="1" x14ac:dyDescent="0.15">
      <c r="A40" s="92"/>
      <c r="B40" s="93"/>
      <c r="C40" s="93"/>
      <c r="D40" s="171"/>
      <c r="E40" s="160"/>
      <c r="F40" s="161"/>
      <c r="G40" s="245"/>
      <c r="H40" s="117" t="s">
        <v>236</v>
      </c>
      <c r="I40" s="132">
        <f>I39*12.95%</f>
        <v>1458177.9996812001</v>
      </c>
      <c r="J40" s="102"/>
      <c r="K40" s="102"/>
      <c r="L40" s="126"/>
    </row>
    <row r="41" spans="1:12" s="125" customFormat="1" ht="20.100000000000001" customHeight="1" x14ac:dyDescent="0.15">
      <c r="A41" s="92"/>
      <c r="B41" s="93"/>
      <c r="C41" s="93"/>
      <c r="D41" s="171"/>
      <c r="E41" s="160"/>
      <c r="F41" s="161"/>
      <c r="G41" s="245"/>
      <c r="H41" s="117" t="s">
        <v>237</v>
      </c>
      <c r="I41" s="132">
        <f>264042952*1.25%</f>
        <v>3300536.9000000004</v>
      </c>
      <c r="J41" s="126"/>
      <c r="L41" s="126"/>
    </row>
    <row r="42" spans="1:12" s="125" customFormat="1" ht="20.100000000000001" customHeight="1" x14ac:dyDescent="0.15">
      <c r="A42" s="92"/>
      <c r="B42" s="93"/>
      <c r="C42" s="93"/>
      <c r="D42" s="168"/>
      <c r="E42" s="160"/>
      <c r="F42" s="161"/>
      <c r="G42" s="245"/>
      <c r="H42" s="117" t="s">
        <v>238</v>
      </c>
      <c r="I42" s="132">
        <f>264042952*0.76%</f>
        <v>2006726.4351999999</v>
      </c>
      <c r="L42" s="126"/>
    </row>
    <row r="43" spans="1:12" s="125" customFormat="1" ht="20.100000000000001" customHeight="1" x14ac:dyDescent="0.15">
      <c r="A43" s="92"/>
      <c r="B43" s="93"/>
      <c r="C43" s="34" t="s">
        <v>42</v>
      </c>
      <c r="D43" s="165">
        <v>2340000</v>
      </c>
      <c r="E43" s="158">
        <f>I44+I47+I45+I46</f>
        <v>2710000</v>
      </c>
      <c r="F43" s="165">
        <f>E43-D43</f>
        <v>370000</v>
      </c>
      <c r="G43" s="244">
        <f>F43/E43*100</f>
        <v>13.653136531365314</v>
      </c>
      <c r="H43" s="112" t="s">
        <v>42</v>
      </c>
      <c r="I43" s="131"/>
      <c r="L43" s="126"/>
    </row>
    <row r="44" spans="1:12" s="125" customFormat="1" ht="20.100000000000001" customHeight="1" x14ac:dyDescent="0.15">
      <c r="A44" s="92"/>
      <c r="B44" s="93"/>
      <c r="C44" s="93"/>
      <c r="D44" s="171"/>
      <c r="E44" s="160"/>
      <c r="F44" s="161"/>
      <c r="G44" s="245"/>
      <c r="H44" s="117" t="s">
        <v>124</v>
      </c>
      <c r="I44" s="132">
        <f>1850000*1</f>
        <v>1850000</v>
      </c>
      <c r="L44" s="126"/>
    </row>
    <row r="45" spans="1:12" s="125" customFormat="1" ht="20.100000000000001" customHeight="1" x14ac:dyDescent="0.15">
      <c r="A45" s="92"/>
      <c r="B45" s="93"/>
      <c r="C45" s="93"/>
      <c r="D45" s="171"/>
      <c r="E45" s="160"/>
      <c r="F45" s="161"/>
      <c r="G45" s="245"/>
      <c r="H45" s="166" t="s">
        <v>125</v>
      </c>
      <c r="I45" s="132">
        <f>90000*1</f>
        <v>90000</v>
      </c>
      <c r="L45" s="126"/>
    </row>
    <row r="46" spans="1:12" s="125" customFormat="1" ht="20.100000000000001" customHeight="1" x14ac:dyDescent="0.15">
      <c r="A46" s="92"/>
      <c r="B46" s="93"/>
      <c r="C46" s="93"/>
      <c r="D46" s="171"/>
      <c r="E46" s="160"/>
      <c r="F46" s="161"/>
      <c r="G46" s="245"/>
      <c r="H46" s="166" t="s">
        <v>196</v>
      </c>
      <c r="I46" s="132">
        <f>30000*9</f>
        <v>270000</v>
      </c>
      <c r="L46" s="126"/>
    </row>
    <row r="47" spans="1:12" s="125" customFormat="1" ht="19.5" customHeight="1" x14ac:dyDescent="0.15">
      <c r="A47" s="92"/>
      <c r="B47" s="93"/>
      <c r="C47" s="134"/>
      <c r="D47" s="168"/>
      <c r="E47" s="160"/>
      <c r="F47" s="167"/>
      <c r="G47" s="250"/>
      <c r="H47" s="166" t="s">
        <v>171</v>
      </c>
      <c r="I47" s="132">
        <f>250000*2</f>
        <v>500000</v>
      </c>
      <c r="L47" s="126"/>
    </row>
    <row r="48" spans="1:12" s="125" customFormat="1" ht="20.100000000000001" customHeight="1" x14ac:dyDescent="0.15">
      <c r="A48" s="140"/>
      <c r="B48" s="207" t="s">
        <v>43</v>
      </c>
      <c r="C48" s="142"/>
      <c r="D48" s="168">
        <v>1600000</v>
      </c>
      <c r="E48" s="155">
        <f>E49+E55+E53</f>
        <v>6850000</v>
      </c>
      <c r="F48" s="168">
        <f t="shared" ref="F48:F55" si="1">E48-D48</f>
        <v>5250000</v>
      </c>
      <c r="G48" s="220">
        <f>F48/E48*100</f>
        <v>76.642335766423358</v>
      </c>
      <c r="H48" s="108" t="s">
        <v>43</v>
      </c>
      <c r="I48" s="130"/>
      <c r="L48" s="126"/>
    </row>
    <row r="49" spans="1:12" s="125" customFormat="1" ht="20.100000000000001" customHeight="1" x14ac:dyDescent="0.15">
      <c r="A49" s="92"/>
      <c r="B49" s="93"/>
      <c r="C49" s="185" t="s">
        <v>44</v>
      </c>
      <c r="D49" s="165">
        <v>400000</v>
      </c>
      <c r="E49" s="158">
        <f>I52+I50+I51</f>
        <v>2050000</v>
      </c>
      <c r="F49" s="165">
        <f t="shared" si="1"/>
        <v>1650000</v>
      </c>
      <c r="G49" s="221">
        <f>F49/E49*100</f>
        <v>80.487804878048792</v>
      </c>
      <c r="H49" s="112" t="s">
        <v>44</v>
      </c>
      <c r="I49" s="131"/>
      <c r="L49" s="126"/>
    </row>
    <row r="50" spans="1:12" s="125" customFormat="1" ht="20.100000000000001" customHeight="1" x14ac:dyDescent="0.15">
      <c r="A50" s="92"/>
      <c r="B50" s="93"/>
      <c r="C50" s="217"/>
      <c r="D50" s="171"/>
      <c r="E50" s="160"/>
      <c r="F50" s="171"/>
      <c r="G50" s="221"/>
      <c r="H50" s="117" t="s">
        <v>155</v>
      </c>
      <c r="I50" s="132">
        <f>100000*4</f>
        <v>400000</v>
      </c>
      <c r="L50" s="126"/>
    </row>
    <row r="51" spans="1:12" s="125" customFormat="1" ht="20.100000000000001" customHeight="1" x14ac:dyDescent="0.15">
      <c r="A51" s="92"/>
      <c r="B51" s="93"/>
      <c r="C51" s="217"/>
      <c r="D51" s="171"/>
      <c r="E51" s="160"/>
      <c r="F51" s="171"/>
      <c r="G51" s="221"/>
      <c r="H51" s="117" t="s">
        <v>222</v>
      </c>
      <c r="I51" s="132">
        <f>300000*4</f>
        <v>1200000</v>
      </c>
      <c r="L51" s="126"/>
    </row>
    <row r="52" spans="1:12" s="125" customFormat="1" ht="20.100000000000001" customHeight="1" x14ac:dyDescent="0.15">
      <c r="A52" s="92"/>
      <c r="B52" s="93"/>
      <c r="C52" s="134"/>
      <c r="D52" s="168"/>
      <c r="E52" s="169"/>
      <c r="F52" s="168"/>
      <c r="G52" s="220"/>
      <c r="H52" s="106" t="s">
        <v>239</v>
      </c>
      <c r="I52" s="136">
        <f>450000*1</f>
        <v>450000</v>
      </c>
      <c r="L52" s="126"/>
    </row>
    <row r="53" spans="1:12" s="125" customFormat="1" ht="20.100000000000001" customHeight="1" x14ac:dyDescent="0.15">
      <c r="A53" s="140"/>
      <c r="B53" s="93"/>
      <c r="C53" s="93" t="s">
        <v>264</v>
      </c>
      <c r="D53" s="165">
        <v>0</v>
      </c>
      <c r="E53" s="158">
        <f>I54</f>
        <v>3600000</v>
      </c>
      <c r="F53" s="165">
        <f t="shared" ref="F53" si="2">E53-D53</f>
        <v>3600000</v>
      </c>
      <c r="G53" s="221">
        <f>F53/E53*100</f>
        <v>100</v>
      </c>
      <c r="H53" s="117" t="s">
        <v>275</v>
      </c>
      <c r="I53" s="132"/>
      <c r="L53" s="126"/>
    </row>
    <row r="54" spans="1:12" s="125" customFormat="1" ht="20.100000000000001" customHeight="1" x14ac:dyDescent="0.15">
      <c r="A54" s="92"/>
      <c r="B54" s="93"/>
      <c r="C54" s="134"/>
      <c r="D54" s="168"/>
      <c r="E54" s="169"/>
      <c r="F54" s="167"/>
      <c r="G54" s="250"/>
      <c r="H54" s="106" t="s">
        <v>276</v>
      </c>
      <c r="I54" s="136">
        <f>300000*12*1</f>
        <v>3600000</v>
      </c>
      <c r="L54" s="126"/>
    </row>
    <row r="55" spans="1:12" s="125" customFormat="1" ht="20.100000000000001" customHeight="1" x14ac:dyDescent="0.15">
      <c r="A55" s="140"/>
      <c r="B55" s="93"/>
      <c r="C55" s="217" t="s">
        <v>45</v>
      </c>
      <c r="D55" s="171">
        <v>1200000</v>
      </c>
      <c r="E55" s="160">
        <f>I56</f>
        <v>1200000</v>
      </c>
      <c r="F55" s="171">
        <f t="shared" si="1"/>
        <v>0</v>
      </c>
      <c r="G55" s="221">
        <f>F55/E55*100</f>
        <v>0</v>
      </c>
      <c r="H55" s="117" t="s">
        <v>45</v>
      </c>
      <c r="I55" s="132"/>
      <c r="L55" s="126"/>
    </row>
    <row r="56" spans="1:12" s="186" customFormat="1" ht="20.100000000000001" customHeight="1" x14ac:dyDescent="0.15">
      <c r="A56" s="92"/>
      <c r="B56" s="93"/>
      <c r="C56" s="134"/>
      <c r="D56" s="168"/>
      <c r="E56" s="169"/>
      <c r="F56" s="168"/>
      <c r="G56" s="252"/>
      <c r="H56" s="106" t="s">
        <v>240</v>
      </c>
      <c r="I56" s="136">
        <f>300000*4</f>
        <v>1200000</v>
      </c>
      <c r="L56" s="187"/>
    </row>
    <row r="57" spans="1:12" s="125" customFormat="1" ht="20.100000000000001" customHeight="1" x14ac:dyDescent="0.15">
      <c r="A57" s="140"/>
      <c r="B57" s="300" t="s">
        <v>46</v>
      </c>
      <c r="C57" s="142"/>
      <c r="D57" s="168">
        <v>50289200</v>
      </c>
      <c r="E57" s="169">
        <f>E58+E60+E69+E72+E78+E81</f>
        <v>49839200</v>
      </c>
      <c r="F57" s="168">
        <f t="shared" ref="F57:F60" si="3">E57-D57</f>
        <v>-450000</v>
      </c>
      <c r="G57" s="220">
        <f>F57/E57*100</f>
        <v>-0.90290373842276761</v>
      </c>
      <c r="H57" s="106" t="s">
        <v>46</v>
      </c>
      <c r="I57" s="136"/>
      <c r="L57" s="126"/>
    </row>
    <row r="58" spans="1:12" s="125" customFormat="1" ht="20.100000000000001" customHeight="1" x14ac:dyDescent="0.15">
      <c r="A58" s="92"/>
      <c r="B58" s="93"/>
      <c r="C58" s="34" t="s">
        <v>47</v>
      </c>
      <c r="D58" s="165">
        <v>50000</v>
      </c>
      <c r="E58" s="158">
        <f>I59</f>
        <v>300000</v>
      </c>
      <c r="F58" s="165">
        <f t="shared" si="3"/>
        <v>250000</v>
      </c>
      <c r="G58" s="244">
        <f>F58/E58*100</f>
        <v>83.333333333333343</v>
      </c>
      <c r="H58" s="112" t="s">
        <v>47</v>
      </c>
      <c r="I58" s="131"/>
      <c r="L58" s="126"/>
    </row>
    <row r="59" spans="1:12" s="125" customFormat="1" ht="20.100000000000001" customHeight="1" x14ac:dyDescent="0.15">
      <c r="A59" s="92"/>
      <c r="B59" s="135"/>
      <c r="C59" s="93"/>
      <c r="D59" s="171"/>
      <c r="E59" s="160"/>
      <c r="F59" s="171"/>
      <c r="G59" s="252"/>
      <c r="H59" s="106" t="s">
        <v>215</v>
      </c>
      <c r="I59" s="136">
        <f>50000*6</f>
        <v>300000</v>
      </c>
      <c r="L59" s="126"/>
    </row>
    <row r="60" spans="1:12" s="125" customFormat="1" ht="20.100000000000001" customHeight="1" x14ac:dyDescent="0.15">
      <c r="A60" s="92"/>
      <c r="B60" s="93"/>
      <c r="C60" s="213" t="s">
        <v>48</v>
      </c>
      <c r="D60" s="165">
        <v>18959200</v>
      </c>
      <c r="E60" s="158">
        <f>SUM(I61:I68)</f>
        <v>18959200</v>
      </c>
      <c r="F60" s="165">
        <f t="shared" si="3"/>
        <v>0</v>
      </c>
      <c r="G60" s="223">
        <f>F60/E60*100</f>
        <v>0</v>
      </c>
      <c r="H60" s="112" t="s">
        <v>48</v>
      </c>
      <c r="I60" s="131"/>
      <c r="L60" s="126"/>
    </row>
    <row r="61" spans="1:12" s="125" customFormat="1" ht="20.100000000000001" customHeight="1" x14ac:dyDescent="0.15">
      <c r="A61" s="92"/>
      <c r="B61" s="93"/>
      <c r="C61" s="215"/>
      <c r="D61" s="171"/>
      <c r="E61" s="160"/>
      <c r="F61" s="171"/>
      <c r="G61" s="171"/>
      <c r="H61" s="172" t="s">
        <v>128</v>
      </c>
      <c r="I61" s="132">
        <f>2544800*1</f>
        <v>2544800</v>
      </c>
      <c r="L61" s="126"/>
    </row>
    <row r="62" spans="1:12" s="125" customFormat="1" ht="20.100000000000001" customHeight="1" x14ac:dyDescent="0.15">
      <c r="A62" s="140"/>
      <c r="B62" s="135"/>
      <c r="C62" s="93"/>
      <c r="D62" s="171"/>
      <c r="E62" s="160"/>
      <c r="F62" s="171"/>
      <c r="G62" s="171"/>
      <c r="H62" s="117" t="s">
        <v>129</v>
      </c>
      <c r="I62" s="132">
        <f>204600*12</f>
        <v>2455200</v>
      </c>
      <c r="L62" s="126"/>
    </row>
    <row r="63" spans="1:12" s="125" customFormat="1" ht="20.100000000000001" customHeight="1" x14ac:dyDescent="0.15">
      <c r="A63" s="92"/>
      <c r="B63" s="135"/>
      <c r="C63" s="93"/>
      <c r="D63" s="171"/>
      <c r="E63" s="160"/>
      <c r="F63" s="171"/>
      <c r="G63" s="171"/>
      <c r="H63" s="173" t="s">
        <v>131</v>
      </c>
      <c r="I63" s="132">
        <f>204600*12</f>
        <v>2455200</v>
      </c>
      <c r="L63" s="126"/>
    </row>
    <row r="64" spans="1:12" s="125" customFormat="1" ht="20.100000000000001" customHeight="1" x14ac:dyDescent="0.15">
      <c r="A64" s="92"/>
      <c r="B64" s="135"/>
      <c r="C64" s="93"/>
      <c r="D64" s="171"/>
      <c r="E64" s="160"/>
      <c r="F64" s="171"/>
      <c r="G64" s="171"/>
      <c r="H64" s="117" t="s">
        <v>109</v>
      </c>
      <c r="I64" s="132">
        <f>300000*4</f>
        <v>1200000</v>
      </c>
      <c r="L64" s="126"/>
    </row>
    <row r="65" spans="1:12" s="125" customFormat="1" ht="20.100000000000001" customHeight="1" x14ac:dyDescent="0.15">
      <c r="A65" s="92"/>
      <c r="B65" s="135"/>
      <c r="C65" s="93"/>
      <c r="D65" s="171"/>
      <c r="E65" s="160"/>
      <c r="F65" s="171"/>
      <c r="G65" s="171"/>
      <c r="H65" s="117" t="s">
        <v>117</v>
      </c>
      <c r="I65" s="132">
        <f>500000*12</f>
        <v>6000000</v>
      </c>
      <c r="L65" s="126"/>
    </row>
    <row r="66" spans="1:12" s="125" customFormat="1" ht="20.100000000000001" customHeight="1" x14ac:dyDescent="0.15">
      <c r="A66" s="92"/>
      <c r="B66" s="135"/>
      <c r="C66" s="93"/>
      <c r="D66" s="171"/>
      <c r="E66" s="160"/>
      <c r="F66" s="171"/>
      <c r="G66" s="171"/>
      <c r="H66" s="117" t="s">
        <v>68</v>
      </c>
      <c r="I66" s="132">
        <f>77000*12</f>
        <v>924000</v>
      </c>
      <c r="L66" s="126"/>
    </row>
    <row r="67" spans="1:12" s="125" customFormat="1" ht="20.100000000000001" customHeight="1" x14ac:dyDescent="0.15">
      <c r="A67" s="92"/>
      <c r="B67" s="135"/>
      <c r="C67" s="93"/>
      <c r="D67" s="171"/>
      <c r="E67" s="160"/>
      <c r="F67" s="171"/>
      <c r="G67" s="171"/>
      <c r="H67" s="117" t="s">
        <v>159</v>
      </c>
      <c r="I67" s="132">
        <f>30000*6</f>
        <v>180000</v>
      </c>
      <c r="L67" s="126"/>
    </row>
    <row r="68" spans="1:12" s="125" customFormat="1" ht="20.100000000000001" customHeight="1" x14ac:dyDescent="0.15">
      <c r="A68" s="92"/>
      <c r="B68" s="135"/>
      <c r="C68" s="93"/>
      <c r="D68" s="171"/>
      <c r="E68" s="160"/>
      <c r="F68" s="171"/>
      <c r="G68" s="171"/>
      <c r="H68" s="117" t="s">
        <v>149</v>
      </c>
      <c r="I68" s="132">
        <f>3200000*1</f>
        <v>3200000</v>
      </c>
      <c r="L68" s="126"/>
    </row>
    <row r="69" spans="1:12" s="125" customFormat="1" ht="20.100000000000001" customHeight="1" x14ac:dyDescent="0.15">
      <c r="A69" s="92"/>
      <c r="B69" s="93"/>
      <c r="C69" s="34" t="s">
        <v>49</v>
      </c>
      <c r="D69" s="165">
        <v>6840000</v>
      </c>
      <c r="E69" s="158">
        <f>I70+I71</f>
        <v>6840000</v>
      </c>
      <c r="F69" s="165">
        <f t="shared" ref="F69" si="4">E69-D69</f>
        <v>0</v>
      </c>
      <c r="G69" s="223">
        <f>F69/E69*100</f>
        <v>0</v>
      </c>
      <c r="H69" s="112" t="s">
        <v>49</v>
      </c>
      <c r="I69" s="131"/>
      <c r="L69" s="126"/>
    </row>
    <row r="70" spans="1:12" s="125" customFormat="1" ht="20.100000000000001" customHeight="1" x14ac:dyDescent="0.15">
      <c r="A70" s="92"/>
      <c r="B70" s="135"/>
      <c r="C70" s="93"/>
      <c r="D70" s="171"/>
      <c r="E70" s="160"/>
      <c r="F70" s="171"/>
      <c r="G70" s="245"/>
      <c r="H70" s="117" t="s">
        <v>116</v>
      </c>
      <c r="I70" s="132">
        <f>70000*12</f>
        <v>840000</v>
      </c>
      <c r="L70" s="126"/>
    </row>
    <row r="71" spans="1:12" s="125" customFormat="1" ht="20.100000000000001" customHeight="1" x14ac:dyDescent="0.15">
      <c r="A71" s="92"/>
      <c r="B71" s="135"/>
      <c r="C71" s="93"/>
      <c r="D71" s="171"/>
      <c r="E71" s="160"/>
      <c r="F71" s="171"/>
      <c r="G71" s="245"/>
      <c r="H71" s="117" t="s">
        <v>144</v>
      </c>
      <c r="I71" s="136">
        <f>500000*12</f>
        <v>6000000</v>
      </c>
      <c r="L71" s="126"/>
    </row>
    <row r="72" spans="1:12" s="125" customFormat="1" ht="20.100000000000001" customHeight="1" x14ac:dyDescent="0.15">
      <c r="A72" s="92"/>
      <c r="B72" s="135"/>
      <c r="C72" s="34" t="s">
        <v>50</v>
      </c>
      <c r="D72" s="165">
        <v>5540000</v>
      </c>
      <c r="E72" s="158">
        <f>I73+I74+I75+I76+I77</f>
        <v>5540000</v>
      </c>
      <c r="F72" s="165">
        <f t="shared" ref="F72" si="5">E72-D72</f>
        <v>0</v>
      </c>
      <c r="G72" s="244">
        <f>F72/E72*100</f>
        <v>0</v>
      </c>
      <c r="H72" s="112" t="s">
        <v>50</v>
      </c>
      <c r="I72" s="132"/>
      <c r="L72" s="126"/>
    </row>
    <row r="73" spans="1:12" s="125" customFormat="1" ht="20.100000000000001" customHeight="1" x14ac:dyDescent="0.15">
      <c r="A73" s="92"/>
      <c r="B73" s="135"/>
      <c r="C73" s="93"/>
      <c r="D73" s="171"/>
      <c r="E73" s="160"/>
      <c r="F73" s="171"/>
      <c r="G73" s="245"/>
      <c r="H73" s="117" t="s">
        <v>107</v>
      </c>
      <c r="I73" s="132">
        <f>50000*2</f>
        <v>100000</v>
      </c>
      <c r="L73" s="126"/>
    </row>
    <row r="74" spans="1:12" s="125" customFormat="1" ht="20.100000000000001" customHeight="1" x14ac:dyDescent="0.15">
      <c r="A74" s="92"/>
      <c r="B74" s="135"/>
      <c r="C74" s="93"/>
      <c r="D74" s="171"/>
      <c r="E74" s="160"/>
      <c r="F74" s="171"/>
      <c r="G74" s="245"/>
      <c r="H74" s="117" t="s">
        <v>214</v>
      </c>
      <c r="I74" s="132">
        <f>1300000*1</f>
        <v>1300000</v>
      </c>
      <c r="L74" s="126"/>
    </row>
    <row r="75" spans="1:12" s="125" customFormat="1" ht="20.100000000000001" customHeight="1" x14ac:dyDescent="0.15">
      <c r="A75" s="92"/>
      <c r="B75" s="135"/>
      <c r="C75" s="93"/>
      <c r="D75" s="171"/>
      <c r="E75" s="160"/>
      <c r="F75" s="171"/>
      <c r="G75" s="245"/>
      <c r="H75" s="117" t="s">
        <v>247</v>
      </c>
      <c r="I75" s="132">
        <f>300000*3</f>
        <v>900000</v>
      </c>
      <c r="L75" s="126"/>
    </row>
    <row r="76" spans="1:12" s="125" customFormat="1" ht="20.100000000000001" customHeight="1" x14ac:dyDescent="0.15">
      <c r="A76" s="92"/>
      <c r="B76" s="135"/>
      <c r="C76" s="93"/>
      <c r="D76" s="171"/>
      <c r="E76" s="160"/>
      <c r="F76" s="171"/>
      <c r="G76" s="245"/>
      <c r="H76" s="117" t="s">
        <v>142</v>
      </c>
      <c r="I76" s="132">
        <f>1000000*3</f>
        <v>3000000</v>
      </c>
      <c r="L76" s="126"/>
    </row>
    <row r="77" spans="1:12" s="125" customFormat="1" ht="20.100000000000001" customHeight="1" x14ac:dyDescent="0.15">
      <c r="A77" s="92"/>
      <c r="B77" s="135"/>
      <c r="C77" s="134"/>
      <c r="D77" s="168"/>
      <c r="E77" s="169"/>
      <c r="F77" s="168"/>
      <c r="G77" s="250"/>
      <c r="H77" s="106" t="s">
        <v>133</v>
      </c>
      <c r="I77" s="136">
        <f>80000*3</f>
        <v>240000</v>
      </c>
      <c r="L77" s="126"/>
    </row>
    <row r="78" spans="1:12" s="125" customFormat="1" ht="20.100000000000001" customHeight="1" x14ac:dyDescent="0.15">
      <c r="A78" s="140"/>
      <c r="B78" s="93"/>
      <c r="C78" s="93" t="s">
        <v>51</v>
      </c>
      <c r="D78" s="171">
        <v>10800000</v>
      </c>
      <c r="E78" s="160">
        <f>I79+I80</f>
        <v>10800000</v>
      </c>
      <c r="F78" s="171">
        <f t="shared" ref="F78" si="6">E78-D78</f>
        <v>0</v>
      </c>
      <c r="G78" s="222">
        <f>F78/E78*100</f>
        <v>0</v>
      </c>
      <c r="H78" s="117" t="s">
        <v>51</v>
      </c>
      <c r="I78" s="132"/>
      <c r="L78" s="126"/>
    </row>
    <row r="79" spans="1:12" s="125" customFormat="1" ht="20.100000000000001" customHeight="1" x14ac:dyDescent="0.15">
      <c r="A79" s="92"/>
      <c r="B79" s="135"/>
      <c r="C79" s="93"/>
      <c r="D79" s="171"/>
      <c r="E79" s="160"/>
      <c r="F79" s="171"/>
      <c r="G79" s="245"/>
      <c r="H79" s="117" t="s">
        <v>134</v>
      </c>
      <c r="I79" s="132">
        <f>600000*12</f>
        <v>7200000</v>
      </c>
      <c r="L79" s="126"/>
    </row>
    <row r="80" spans="1:12" s="125" customFormat="1" ht="20.100000000000001" customHeight="1" x14ac:dyDescent="0.15">
      <c r="A80" s="92"/>
      <c r="B80" s="135"/>
      <c r="C80" s="93"/>
      <c r="D80" s="171"/>
      <c r="E80" s="160"/>
      <c r="F80" s="171"/>
      <c r="G80" s="250"/>
      <c r="H80" s="117" t="s">
        <v>207</v>
      </c>
      <c r="I80" s="136">
        <f>300000*3*4</f>
        <v>3600000</v>
      </c>
      <c r="L80" s="126"/>
    </row>
    <row r="81" spans="1:12" s="125" customFormat="1" ht="20.100000000000001" customHeight="1" x14ac:dyDescent="0.15">
      <c r="A81" s="92"/>
      <c r="B81" s="135"/>
      <c r="C81" s="34" t="s">
        <v>52</v>
      </c>
      <c r="D81" s="165">
        <v>8100000</v>
      </c>
      <c r="E81" s="158">
        <f>I82+I83+I84</f>
        <v>7400000</v>
      </c>
      <c r="F81" s="165">
        <f t="shared" ref="F81" si="7">E81-D81</f>
        <v>-700000</v>
      </c>
      <c r="G81" s="244">
        <f>F81/E81*100</f>
        <v>-9.4594594594594597</v>
      </c>
      <c r="H81" s="112" t="s">
        <v>52</v>
      </c>
      <c r="I81" s="132"/>
      <c r="L81" s="126"/>
    </row>
    <row r="82" spans="1:12" s="186" customFormat="1" ht="20.100000000000001" customHeight="1" x14ac:dyDescent="0.15">
      <c r="A82" s="92"/>
      <c r="B82" s="135"/>
      <c r="C82" s="93"/>
      <c r="D82" s="171"/>
      <c r="E82" s="160"/>
      <c r="F82" s="171"/>
      <c r="G82" s="245"/>
      <c r="H82" s="117" t="s">
        <v>151</v>
      </c>
      <c r="I82" s="132">
        <f>500000*12</f>
        <v>6000000</v>
      </c>
      <c r="L82" s="187"/>
    </row>
    <row r="83" spans="1:12" s="125" customFormat="1" ht="20.100000000000001" customHeight="1" x14ac:dyDescent="0.15">
      <c r="A83" s="92"/>
      <c r="B83" s="135"/>
      <c r="C83" s="93"/>
      <c r="D83" s="171"/>
      <c r="E83" s="160"/>
      <c r="F83" s="171"/>
      <c r="G83" s="245"/>
      <c r="H83" s="117" t="s">
        <v>152</v>
      </c>
      <c r="I83" s="132">
        <f>100000*9</f>
        <v>900000</v>
      </c>
      <c r="L83" s="126"/>
    </row>
    <row r="84" spans="1:12" s="125" customFormat="1" ht="20.100000000000001" customHeight="1" x14ac:dyDescent="0.15">
      <c r="A84" s="144"/>
      <c r="B84" s="146"/>
      <c r="C84" s="145"/>
      <c r="D84" s="170"/>
      <c r="E84" s="162"/>
      <c r="F84" s="170"/>
      <c r="G84" s="247"/>
      <c r="H84" s="164" t="s">
        <v>228</v>
      </c>
      <c r="I84" s="147">
        <f>100000*5</f>
        <v>500000</v>
      </c>
      <c r="L84" s="126"/>
    </row>
    <row r="85" spans="1:12" s="125" customFormat="1" ht="20.100000000000001" customHeight="1" x14ac:dyDescent="0.15">
      <c r="A85" s="188" t="s">
        <v>25</v>
      </c>
      <c r="B85" s="181"/>
      <c r="C85" s="142"/>
      <c r="D85" s="167">
        <v>6309996</v>
      </c>
      <c r="E85" s="174">
        <f>E86</f>
        <v>10359996</v>
      </c>
      <c r="F85" s="167">
        <f t="shared" si="0"/>
        <v>4050000</v>
      </c>
      <c r="G85" s="253">
        <f>F85/E85*100</f>
        <v>39.092679186362624</v>
      </c>
      <c r="H85" s="106" t="s">
        <v>25</v>
      </c>
      <c r="I85" s="189"/>
      <c r="L85" s="126"/>
    </row>
    <row r="86" spans="1:12" s="125" customFormat="1" ht="20.100000000000001" customHeight="1" x14ac:dyDescent="0.15">
      <c r="A86" s="310"/>
      <c r="B86" s="207" t="s">
        <v>26</v>
      </c>
      <c r="C86" s="208"/>
      <c r="D86" s="156">
        <v>6309996</v>
      </c>
      <c r="E86" s="155">
        <f>E87+E92</f>
        <v>10359996</v>
      </c>
      <c r="F86" s="156">
        <f t="shared" si="0"/>
        <v>4050000</v>
      </c>
      <c r="G86" s="220">
        <f>F86/E86*100</f>
        <v>39.092679186362624</v>
      </c>
      <c r="H86" s="108" t="s">
        <v>26</v>
      </c>
      <c r="I86" s="130"/>
      <c r="L86" s="126"/>
    </row>
    <row r="87" spans="1:12" s="125" customFormat="1" ht="20.100000000000001" customHeight="1" x14ac:dyDescent="0.15">
      <c r="A87" s="310"/>
      <c r="B87" s="212"/>
      <c r="C87" s="34" t="s">
        <v>27</v>
      </c>
      <c r="D87" s="165">
        <v>4609996</v>
      </c>
      <c r="E87" s="158">
        <f>I88+I91+I89+I90</f>
        <v>8659996</v>
      </c>
      <c r="F87" s="165">
        <f t="shared" si="0"/>
        <v>4050000</v>
      </c>
      <c r="G87" s="221">
        <f>F87/E87*100</f>
        <v>46.766765250237988</v>
      </c>
      <c r="H87" s="175" t="s">
        <v>27</v>
      </c>
      <c r="I87" s="190"/>
      <c r="L87" s="126"/>
    </row>
    <row r="88" spans="1:12" s="125" customFormat="1" ht="20.100000000000001" customHeight="1" x14ac:dyDescent="0.15">
      <c r="A88" s="133"/>
      <c r="B88" s="191"/>
      <c r="C88" s="93"/>
      <c r="D88" s="171"/>
      <c r="E88" s="160"/>
      <c r="F88" s="171"/>
      <c r="G88" s="221"/>
      <c r="H88" s="218" t="s">
        <v>156</v>
      </c>
      <c r="I88" s="132">
        <f>300000*4</f>
        <v>1200000</v>
      </c>
      <c r="L88" s="126"/>
    </row>
    <row r="89" spans="1:12" s="125" customFormat="1" ht="20.100000000000001" customHeight="1" x14ac:dyDescent="0.15">
      <c r="A89" s="133"/>
      <c r="B89" s="191"/>
      <c r="C89" s="93"/>
      <c r="D89" s="171"/>
      <c r="E89" s="160"/>
      <c r="F89" s="171"/>
      <c r="G89" s="221"/>
      <c r="H89" s="173" t="s">
        <v>127</v>
      </c>
      <c r="I89" s="132">
        <f>238333*12</f>
        <v>2859996</v>
      </c>
      <c r="L89" s="126"/>
    </row>
    <row r="90" spans="1:12" s="125" customFormat="1" ht="20.100000000000001" customHeight="1" x14ac:dyDescent="0.15">
      <c r="A90" s="133"/>
      <c r="B90" s="191"/>
      <c r="C90" s="93"/>
      <c r="D90" s="171"/>
      <c r="E90" s="160"/>
      <c r="F90" s="171"/>
      <c r="G90" s="221"/>
      <c r="H90" s="173" t="s">
        <v>195</v>
      </c>
      <c r="I90" s="132">
        <f>1800000*2</f>
        <v>3600000</v>
      </c>
      <c r="L90" s="126"/>
    </row>
    <row r="91" spans="1:12" s="125" customFormat="1" ht="20.100000000000001" customHeight="1" x14ac:dyDescent="0.15">
      <c r="A91" s="133"/>
      <c r="B91" s="212"/>
      <c r="C91" s="134"/>
      <c r="D91" s="168"/>
      <c r="E91" s="169"/>
      <c r="F91" s="168"/>
      <c r="G91" s="252"/>
      <c r="H91" s="173" t="s">
        <v>241</v>
      </c>
      <c r="I91" s="136">
        <f>1000000*1</f>
        <v>1000000</v>
      </c>
      <c r="L91" s="126"/>
    </row>
    <row r="92" spans="1:12" s="125" customFormat="1" ht="20.100000000000001" customHeight="1" x14ac:dyDescent="0.15">
      <c r="A92" s="211"/>
      <c r="B92" s="191"/>
      <c r="C92" s="213" t="s">
        <v>96</v>
      </c>
      <c r="D92" s="171">
        <v>1700000</v>
      </c>
      <c r="E92" s="160">
        <f>I93+I95+I94</f>
        <v>1700000</v>
      </c>
      <c r="F92" s="171">
        <f t="shared" si="0"/>
        <v>0</v>
      </c>
      <c r="G92" s="222">
        <f>F92/E92*100</f>
        <v>0</v>
      </c>
      <c r="H92" s="175" t="s">
        <v>96</v>
      </c>
      <c r="I92" s="131"/>
      <c r="L92" s="126"/>
    </row>
    <row r="93" spans="1:12" s="125" customFormat="1" ht="20.100000000000001" customHeight="1" x14ac:dyDescent="0.15">
      <c r="A93" s="133"/>
      <c r="B93" s="212"/>
      <c r="C93" s="215"/>
      <c r="D93" s="171"/>
      <c r="E93" s="160"/>
      <c r="F93" s="171"/>
      <c r="G93" s="221"/>
      <c r="H93" s="173" t="s">
        <v>150</v>
      </c>
      <c r="I93" s="132">
        <f>100000*1</f>
        <v>100000</v>
      </c>
      <c r="L93" s="126"/>
    </row>
    <row r="94" spans="1:12" s="125" customFormat="1" ht="20.100000000000001" customHeight="1" x14ac:dyDescent="0.15">
      <c r="A94" s="133"/>
      <c r="B94" s="212"/>
      <c r="C94" s="215"/>
      <c r="D94" s="171"/>
      <c r="E94" s="160"/>
      <c r="F94" s="171"/>
      <c r="G94" s="221"/>
      <c r="H94" s="173" t="s">
        <v>213</v>
      </c>
      <c r="I94" s="132">
        <f>1500000*1</f>
        <v>1500000</v>
      </c>
      <c r="L94" s="126"/>
    </row>
    <row r="95" spans="1:12" s="125" customFormat="1" ht="20.100000000000001" customHeight="1" x14ac:dyDescent="0.15">
      <c r="A95" s="133"/>
      <c r="B95" s="192"/>
      <c r="C95" s="134"/>
      <c r="D95" s="171"/>
      <c r="E95" s="160"/>
      <c r="F95" s="171"/>
      <c r="G95" s="220"/>
      <c r="H95" s="173" t="s">
        <v>208</v>
      </c>
      <c r="I95" s="136">
        <f>100000*1</f>
        <v>100000</v>
      </c>
      <c r="L95" s="126"/>
    </row>
    <row r="96" spans="1:12" s="125" customFormat="1" ht="20.100000000000001" customHeight="1" x14ac:dyDescent="0.15">
      <c r="A96" s="209" t="s">
        <v>53</v>
      </c>
      <c r="B96" s="181"/>
      <c r="C96" s="208"/>
      <c r="D96" s="153">
        <v>46763000</v>
      </c>
      <c r="E96" s="152">
        <f>E97+E103+E135</f>
        <v>48977000</v>
      </c>
      <c r="F96" s="153">
        <f t="shared" ref="F96:F97" si="8">E96-D96</f>
        <v>2214000</v>
      </c>
      <c r="G96" s="254">
        <f>F97/E96*100</f>
        <v>0.81670988423137392</v>
      </c>
      <c r="H96" s="108" t="s">
        <v>53</v>
      </c>
      <c r="I96" s="130"/>
      <c r="L96" s="126"/>
    </row>
    <row r="97" spans="1:12" s="125" customFormat="1" ht="20.100000000000001" customHeight="1" x14ac:dyDescent="0.15">
      <c r="A97" s="92"/>
      <c r="B97" s="207" t="s">
        <v>46</v>
      </c>
      <c r="C97" s="208"/>
      <c r="D97" s="156">
        <v>27000000</v>
      </c>
      <c r="E97" s="155">
        <f>E98+E101</f>
        <v>27400000</v>
      </c>
      <c r="F97" s="156">
        <f t="shared" si="8"/>
        <v>400000</v>
      </c>
      <c r="G97" s="220">
        <f>F97/E97*100</f>
        <v>1.4598540145985401</v>
      </c>
      <c r="H97" s="108" t="s">
        <v>46</v>
      </c>
      <c r="I97" s="130"/>
      <c r="L97" s="126"/>
    </row>
    <row r="98" spans="1:12" s="125" customFormat="1" ht="20.100000000000001" customHeight="1" x14ac:dyDescent="0.15">
      <c r="A98" s="92"/>
      <c r="B98" s="93"/>
      <c r="C98" s="34" t="s">
        <v>54</v>
      </c>
      <c r="D98" s="165">
        <v>26800000</v>
      </c>
      <c r="E98" s="158">
        <f>I99+I100</f>
        <v>27200000</v>
      </c>
      <c r="F98" s="165">
        <f>E98-D98</f>
        <v>400000</v>
      </c>
      <c r="G98" s="244">
        <f>F98/E98*100</f>
        <v>1.4705882352941175</v>
      </c>
      <c r="H98" s="117" t="s">
        <v>54</v>
      </c>
      <c r="I98" s="132"/>
      <c r="L98" s="126"/>
    </row>
    <row r="99" spans="1:12" s="125" customFormat="1" ht="20.100000000000001" customHeight="1" x14ac:dyDescent="0.15">
      <c r="A99" s="92"/>
      <c r="B99" s="93"/>
      <c r="C99" s="93"/>
      <c r="D99" s="171"/>
      <c r="E99" s="160"/>
      <c r="F99" s="171"/>
      <c r="G99" s="248"/>
      <c r="H99" s="117" t="s">
        <v>212</v>
      </c>
      <c r="I99" s="132">
        <f>2500*40*247</f>
        <v>24700000</v>
      </c>
      <c r="L99" s="126"/>
    </row>
    <row r="100" spans="1:12" s="125" customFormat="1" ht="20.100000000000001" customHeight="1" x14ac:dyDescent="0.15">
      <c r="A100" s="92"/>
      <c r="B100" s="93"/>
      <c r="C100" s="134"/>
      <c r="D100" s="168"/>
      <c r="E100" s="169"/>
      <c r="F100" s="168"/>
      <c r="G100" s="252"/>
      <c r="H100" s="106" t="s">
        <v>209</v>
      </c>
      <c r="I100" s="136">
        <f>2500000*1</f>
        <v>2500000</v>
      </c>
      <c r="L100" s="126"/>
    </row>
    <row r="101" spans="1:12" s="125" customFormat="1" ht="19.5" customHeight="1" x14ac:dyDescent="0.15">
      <c r="A101" s="92"/>
      <c r="B101" s="93"/>
      <c r="C101" s="34" t="s">
        <v>55</v>
      </c>
      <c r="D101" s="165">
        <v>200000</v>
      </c>
      <c r="E101" s="158">
        <f>I102</f>
        <v>200000</v>
      </c>
      <c r="F101" s="165">
        <f>E101-D101</f>
        <v>0</v>
      </c>
      <c r="G101" s="244">
        <f>F101/E101*100</f>
        <v>0</v>
      </c>
      <c r="H101" s="112" t="s">
        <v>55</v>
      </c>
      <c r="I101" s="131"/>
      <c r="L101" s="126"/>
    </row>
    <row r="102" spans="1:12" s="125" customFormat="1" ht="19.5" customHeight="1" x14ac:dyDescent="0.15">
      <c r="A102" s="92"/>
      <c r="B102" s="141"/>
      <c r="C102" s="134"/>
      <c r="D102" s="168"/>
      <c r="E102" s="169"/>
      <c r="F102" s="168"/>
      <c r="G102" s="220"/>
      <c r="H102" s="106" t="s">
        <v>136</v>
      </c>
      <c r="I102" s="136">
        <f>100000*2</f>
        <v>200000</v>
      </c>
      <c r="L102" s="126"/>
    </row>
    <row r="103" spans="1:12" s="125" customFormat="1" ht="19.5" customHeight="1" x14ac:dyDescent="0.15">
      <c r="A103" s="140"/>
      <c r="B103" s="135" t="s">
        <v>53</v>
      </c>
      <c r="C103" s="142"/>
      <c r="D103" s="171">
        <v>11140000</v>
      </c>
      <c r="E103" s="160">
        <f>E104+E106+E113+E115+E119+E133</f>
        <v>14754000</v>
      </c>
      <c r="F103" s="171">
        <f t="shared" ref="F103" si="9">E103-D103</f>
        <v>3614000</v>
      </c>
      <c r="G103" s="221">
        <f>F103/E103*100</f>
        <v>24.495052189236819</v>
      </c>
      <c r="H103" s="117" t="s">
        <v>53</v>
      </c>
      <c r="I103" s="136"/>
      <c r="L103" s="126"/>
    </row>
    <row r="104" spans="1:12" s="125" customFormat="1" ht="20.100000000000001" customHeight="1" x14ac:dyDescent="0.15">
      <c r="A104" s="140"/>
      <c r="B104" s="34"/>
      <c r="C104" s="93" t="s">
        <v>103</v>
      </c>
      <c r="D104" s="165">
        <v>1200000</v>
      </c>
      <c r="E104" s="158">
        <f>I105</f>
        <v>1400000</v>
      </c>
      <c r="F104" s="165">
        <f>E104-D104</f>
        <v>200000</v>
      </c>
      <c r="G104" s="244">
        <f>F104/E104*100</f>
        <v>14.285714285714285</v>
      </c>
      <c r="H104" s="112" t="s">
        <v>103</v>
      </c>
      <c r="I104" s="132"/>
      <c r="L104" s="126"/>
    </row>
    <row r="105" spans="1:12" s="125" customFormat="1" ht="20.100000000000001" customHeight="1" x14ac:dyDescent="0.15">
      <c r="A105" s="92"/>
      <c r="B105" s="135"/>
      <c r="C105" s="134"/>
      <c r="D105" s="168"/>
      <c r="E105" s="169"/>
      <c r="F105" s="168"/>
      <c r="G105" s="220"/>
      <c r="H105" s="106" t="s">
        <v>188</v>
      </c>
      <c r="I105" s="132">
        <f>700000*2</f>
        <v>1400000</v>
      </c>
      <c r="L105" s="126"/>
    </row>
    <row r="106" spans="1:12" s="125" customFormat="1" ht="20.100000000000001" customHeight="1" x14ac:dyDescent="0.15">
      <c r="A106" s="92"/>
      <c r="B106" s="93"/>
      <c r="C106" s="346" t="s">
        <v>99</v>
      </c>
      <c r="D106" s="171">
        <v>3010000</v>
      </c>
      <c r="E106" s="160">
        <f>I107+I108+I109+I110+I111+I112</f>
        <v>3840000</v>
      </c>
      <c r="F106" s="171">
        <f t="shared" ref="F106" si="10">E106-D106</f>
        <v>830000</v>
      </c>
      <c r="G106" s="244">
        <f>F106/E106*100</f>
        <v>21.614583333333336</v>
      </c>
      <c r="H106" s="176" t="s">
        <v>99</v>
      </c>
      <c r="I106" s="131"/>
      <c r="L106" s="126"/>
    </row>
    <row r="107" spans="1:12" s="125" customFormat="1" ht="20.100000000000001" customHeight="1" x14ac:dyDescent="0.15">
      <c r="A107" s="92"/>
      <c r="B107" s="93"/>
      <c r="C107" s="347"/>
      <c r="D107" s="171"/>
      <c r="E107" s="160"/>
      <c r="F107" s="161"/>
      <c r="G107" s="245"/>
      <c r="H107" s="117" t="s">
        <v>172</v>
      </c>
      <c r="I107" s="132">
        <f>100000*12</f>
        <v>1200000</v>
      </c>
      <c r="L107" s="126"/>
    </row>
    <row r="108" spans="1:12" s="125" customFormat="1" ht="20.100000000000001" customHeight="1" x14ac:dyDescent="0.15">
      <c r="A108" s="92"/>
      <c r="B108" s="93"/>
      <c r="C108" s="215"/>
      <c r="D108" s="171"/>
      <c r="E108" s="160"/>
      <c r="F108" s="161"/>
      <c r="G108" s="245"/>
      <c r="H108" s="117" t="s">
        <v>173</v>
      </c>
      <c r="I108" s="132">
        <f>100000*6</f>
        <v>600000</v>
      </c>
      <c r="L108" s="126"/>
    </row>
    <row r="109" spans="1:12" s="125" customFormat="1" ht="20.100000000000001" customHeight="1" x14ac:dyDescent="0.15">
      <c r="A109" s="92"/>
      <c r="B109" s="93"/>
      <c r="C109" s="215"/>
      <c r="D109" s="171"/>
      <c r="E109" s="160"/>
      <c r="F109" s="161"/>
      <c r="G109" s="245"/>
      <c r="H109" s="117" t="s">
        <v>175</v>
      </c>
      <c r="I109" s="132">
        <f>50000*2</f>
        <v>100000</v>
      </c>
      <c r="L109" s="126"/>
    </row>
    <row r="110" spans="1:12" s="186" customFormat="1" ht="20.100000000000001" customHeight="1" x14ac:dyDescent="0.15">
      <c r="A110" s="140"/>
      <c r="B110" s="93"/>
      <c r="C110" s="215"/>
      <c r="D110" s="171"/>
      <c r="E110" s="160"/>
      <c r="F110" s="161"/>
      <c r="G110" s="245"/>
      <c r="H110" s="117" t="s">
        <v>174</v>
      </c>
      <c r="I110" s="132">
        <f>100000*6</f>
        <v>600000</v>
      </c>
      <c r="L110" s="187"/>
    </row>
    <row r="111" spans="1:12" s="125" customFormat="1" ht="20.100000000000001" customHeight="1" x14ac:dyDescent="0.15">
      <c r="A111" s="92"/>
      <c r="B111" s="93"/>
      <c r="C111" s="215"/>
      <c r="D111" s="171"/>
      <c r="E111" s="160"/>
      <c r="F111" s="161"/>
      <c r="G111" s="245"/>
      <c r="H111" s="117" t="s">
        <v>176</v>
      </c>
      <c r="I111" s="132">
        <f>20000*2</f>
        <v>40000</v>
      </c>
      <c r="L111" s="126"/>
    </row>
    <row r="112" spans="1:12" s="125" customFormat="1" ht="20.100000000000001" customHeight="1" x14ac:dyDescent="0.15">
      <c r="A112" s="144"/>
      <c r="B112" s="145"/>
      <c r="C112" s="193"/>
      <c r="D112" s="170"/>
      <c r="E112" s="162"/>
      <c r="F112" s="163"/>
      <c r="G112" s="247"/>
      <c r="H112" s="164" t="s">
        <v>246</v>
      </c>
      <c r="I112" s="147">
        <f>50000*26</f>
        <v>1300000</v>
      </c>
      <c r="L112" s="126"/>
    </row>
    <row r="113" spans="1:12" s="125" customFormat="1" ht="20.100000000000001" customHeight="1" x14ac:dyDescent="0.15">
      <c r="A113" s="140"/>
      <c r="B113" s="93"/>
      <c r="C113" s="348" t="s">
        <v>189</v>
      </c>
      <c r="D113" s="171">
        <v>200000</v>
      </c>
      <c r="E113" s="160">
        <f>I114</f>
        <v>200000</v>
      </c>
      <c r="F113" s="171">
        <f>E113-D113</f>
        <v>0</v>
      </c>
      <c r="G113" s="222">
        <f>F113/E113*100</f>
        <v>0</v>
      </c>
      <c r="H113" s="117" t="s">
        <v>56</v>
      </c>
      <c r="I113" s="132"/>
      <c r="L113" s="126"/>
    </row>
    <row r="114" spans="1:12" s="125" customFormat="1" ht="20.100000000000001" customHeight="1" x14ac:dyDescent="0.15">
      <c r="A114" s="92"/>
      <c r="B114" s="135"/>
      <c r="C114" s="343"/>
      <c r="D114" s="171"/>
      <c r="E114" s="160"/>
      <c r="F114" s="167"/>
      <c r="G114" s="245"/>
      <c r="H114" s="117" t="s">
        <v>135</v>
      </c>
      <c r="I114" s="136">
        <f>50000*4</f>
        <v>200000</v>
      </c>
      <c r="L114" s="126"/>
    </row>
    <row r="115" spans="1:12" s="125" customFormat="1" ht="20.100000000000001" customHeight="1" x14ac:dyDescent="0.15">
      <c r="A115" s="92"/>
      <c r="B115" s="93"/>
      <c r="C115" s="346" t="s">
        <v>100</v>
      </c>
      <c r="D115" s="165">
        <v>920000</v>
      </c>
      <c r="E115" s="158">
        <f>I116+I118+I117</f>
        <v>1104000</v>
      </c>
      <c r="F115" s="165">
        <f>E115-D115</f>
        <v>184000</v>
      </c>
      <c r="G115" s="244">
        <f>F115/E115*100</f>
        <v>16.666666666666664</v>
      </c>
      <c r="H115" s="112" t="s">
        <v>100</v>
      </c>
      <c r="I115" s="132"/>
      <c r="L115" s="126"/>
    </row>
    <row r="116" spans="1:12" s="125" customFormat="1" ht="20.100000000000001" customHeight="1" x14ac:dyDescent="0.15">
      <c r="A116" s="92"/>
      <c r="B116" s="93"/>
      <c r="C116" s="347"/>
      <c r="D116" s="171"/>
      <c r="E116" s="160"/>
      <c r="F116" s="161"/>
      <c r="G116" s="248"/>
      <c r="H116" s="117" t="s">
        <v>177</v>
      </c>
      <c r="I116" s="132">
        <f>50000*6</f>
        <v>300000</v>
      </c>
      <c r="L116" s="126"/>
    </row>
    <row r="117" spans="1:12" s="125" customFormat="1" ht="20.100000000000001" customHeight="1" x14ac:dyDescent="0.15">
      <c r="A117" s="92"/>
      <c r="B117" s="93"/>
      <c r="C117" s="261"/>
      <c r="D117" s="171"/>
      <c r="E117" s="160"/>
      <c r="F117" s="161"/>
      <c r="G117" s="248"/>
      <c r="H117" s="117" t="s">
        <v>178</v>
      </c>
      <c r="I117" s="132">
        <f>50000*12</f>
        <v>600000</v>
      </c>
      <c r="L117" s="126"/>
    </row>
    <row r="118" spans="1:12" s="125" customFormat="1" ht="20.100000000000001" customHeight="1" x14ac:dyDescent="0.15">
      <c r="A118" s="92"/>
      <c r="B118" s="93"/>
      <c r="C118" s="260"/>
      <c r="D118" s="171"/>
      <c r="E118" s="169"/>
      <c r="F118" s="167"/>
      <c r="G118" s="252"/>
      <c r="H118" s="117" t="s">
        <v>157</v>
      </c>
      <c r="I118" s="136">
        <f>51000*4</f>
        <v>204000</v>
      </c>
      <c r="L118" s="126"/>
    </row>
    <row r="119" spans="1:12" s="125" customFormat="1" ht="20.100000000000001" customHeight="1" x14ac:dyDescent="0.15">
      <c r="A119" s="92"/>
      <c r="B119" s="93"/>
      <c r="C119" s="342" t="s">
        <v>101</v>
      </c>
      <c r="D119" s="165">
        <v>5210000</v>
      </c>
      <c r="E119" s="160">
        <f>I120+I121+I124+I125+I126+I127+I132+I128+I122+I123+I129+I130+I131</f>
        <v>7610000</v>
      </c>
      <c r="F119" s="171">
        <f>E119-D119</f>
        <v>2400000</v>
      </c>
      <c r="G119" s="248">
        <f>F119/E119*100</f>
        <v>31.537450722733247</v>
      </c>
      <c r="H119" s="159" t="s">
        <v>101</v>
      </c>
      <c r="I119" s="132"/>
      <c r="L119" s="126"/>
    </row>
    <row r="120" spans="1:12" s="125" customFormat="1" ht="20.100000000000001" customHeight="1" x14ac:dyDescent="0.15">
      <c r="A120" s="140"/>
      <c r="B120" s="93"/>
      <c r="C120" s="349"/>
      <c r="D120" s="171"/>
      <c r="E120" s="160"/>
      <c r="F120" s="171"/>
      <c r="G120" s="248"/>
      <c r="H120" s="177" t="s">
        <v>179</v>
      </c>
      <c r="I120" s="132">
        <f>50000*12</f>
        <v>600000</v>
      </c>
      <c r="L120" s="126"/>
    </row>
    <row r="121" spans="1:12" s="125" customFormat="1" ht="20.100000000000001" customHeight="1" x14ac:dyDescent="0.15">
      <c r="A121" s="92"/>
      <c r="B121" s="93"/>
      <c r="C121" s="93"/>
      <c r="D121" s="171"/>
      <c r="E121" s="160"/>
      <c r="F121" s="171"/>
      <c r="G121" s="248"/>
      <c r="H121" s="177" t="s">
        <v>180</v>
      </c>
      <c r="I121" s="132">
        <f>400000*1</f>
        <v>400000</v>
      </c>
      <c r="L121" s="126"/>
    </row>
    <row r="122" spans="1:12" s="125" customFormat="1" ht="20.100000000000001" customHeight="1" x14ac:dyDescent="0.15">
      <c r="A122" s="92"/>
      <c r="B122" s="93"/>
      <c r="C122" s="93"/>
      <c r="D122" s="171"/>
      <c r="E122" s="160"/>
      <c r="F122" s="171"/>
      <c r="G122" s="248"/>
      <c r="H122" s="177" t="s">
        <v>148</v>
      </c>
      <c r="I122" s="132">
        <f>600000*2</f>
        <v>1200000</v>
      </c>
      <c r="J122" s="102"/>
      <c r="L122" s="126"/>
    </row>
    <row r="123" spans="1:12" s="125" customFormat="1" ht="20.100000000000001" customHeight="1" x14ac:dyDescent="0.15">
      <c r="A123" s="92"/>
      <c r="B123" s="93"/>
      <c r="C123" s="93"/>
      <c r="D123" s="171"/>
      <c r="E123" s="160"/>
      <c r="F123" s="171"/>
      <c r="G123" s="248"/>
      <c r="H123" s="177" t="s">
        <v>181</v>
      </c>
      <c r="I123" s="132">
        <f>150000*2</f>
        <v>300000</v>
      </c>
      <c r="L123" s="126"/>
    </row>
    <row r="124" spans="1:12" s="125" customFormat="1" ht="20.100000000000001" customHeight="1" x14ac:dyDescent="0.15">
      <c r="A124" s="92"/>
      <c r="B124" s="93"/>
      <c r="C124" s="93"/>
      <c r="D124" s="171"/>
      <c r="E124" s="160"/>
      <c r="F124" s="171"/>
      <c r="G124" s="248"/>
      <c r="H124" s="177" t="s">
        <v>182</v>
      </c>
      <c r="I124" s="132">
        <f>12000*40*2</f>
        <v>960000</v>
      </c>
      <c r="L124" s="126"/>
    </row>
    <row r="125" spans="1:12" s="125" customFormat="1" ht="20.100000000000001" customHeight="1" x14ac:dyDescent="0.15">
      <c r="A125" s="92"/>
      <c r="B125" s="93"/>
      <c r="C125" s="93"/>
      <c r="D125" s="171"/>
      <c r="E125" s="160"/>
      <c r="F125" s="171"/>
      <c r="G125" s="248"/>
      <c r="H125" s="177" t="s">
        <v>183</v>
      </c>
      <c r="I125" s="132">
        <f>200000*1</f>
        <v>200000</v>
      </c>
      <c r="L125" s="126"/>
    </row>
    <row r="126" spans="1:12" s="125" customFormat="1" ht="20.100000000000001" customHeight="1" x14ac:dyDescent="0.15">
      <c r="A126" s="92"/>
      <c r="B126" s="93"/>
      <c r="C126" s="93"/>
      <c r="D126" s="171"/>
      <c r="E126" s="160"/>
      <c r="F126" s="171"/>
      <c r="G126" s="248"/>
      <c r="H126" s="177" t="s">
        <v>184</v>
      </c>
      <c r="I126" s="132">
        <f>10000*40*1</f>
        <v>400000</v>
      </c>
      <c r="L126" s="126"/>
    </row>
    <row r="127" spans="1:12" s="125" customFormat="1" ht="20.100000000000001" customHeight="1" x14ac:dyDescent="0.15">
      <c r="A127" s="92"/>
      <c r="B127" s="93"/>
      <c r="C127" s="93"/>
      <c r="D127" s="171"/>
      <c r="E127" s="160"/>
      <c r="F127" s="171"/>
      <c r="G127" s="248"/>
      <c r="H127" s="177" t="s">
        <v>190</v>
      </c>
      <c r="I127" s="132">
        <f>400000*1</f>
        <v>400000</v>
      </c>
      <c r="L127" s="126"/>
    </row>
    <row r="128" spans="1:12" s="125" customFormat="1" ht="20.100000000000001" customHeight="1" x14ac:dyDescent="0.15">
      <c r="A128" s="92"/>
      <c r="B128" s="93"/>
      <c r="C128" s="93"/>
      <c r="D128" s="171"/>
      <c r="E128" s="160"/>
      <c r="F128" s="171"/>
      <c r="G128" s="248"/>
      <c r="H128" s="177" t="s">
        <v>185</v>
      </c>
      <c r="I128" s="132">
        <f>150000*1</f>
        <v>150000</v>
      </c>
      <c r="L128" s="126"/>
    </row>
    <row r="129" spans="1:12" s="125" customFormat="1" ht="20.100000000000001" customHeight="1" x14ac:dyDescent="0.15">
      <c r="A129" s="92"/>
      <c r="B129" s="93"/>
      <c r="C129" s="93"/>
      <c r="D129" s="171"/>
      <c r="E129" s="160"/>
      <c r="F129" s="171"/>
      <c r="G129" s="248"/>
      <c r="H129" s="177" t="s">
        <v>186</v>
      </c>
      <c r="I129" s="132">
        <f>400000*4</f>
        <v>1600000</v>
      </c>
      <c r="L129" s="126"/>
    </row>
    <row r="130" spans="1:12" s="125" customFormat="1" ht="20.100000000000001" customHeight="1" x14ac:dyDescent="0.15">
      <c r="A130" s="92"/>
      <c r="B130" s="93"/>
      <c r="C130" s="93"/>
      <c r="D130" s="171"/>
      <c r="E130" s="160"/>
      <c r="F130" s="171"/>
      <c r="G130" s="248"/>
      <c r="H130" s="177" t="s">
        <v>216</v>
      </c>
      <c r="I130" s="132">
        <f>600000*1</f>
        <v>600000</v>
      </c>
      <c r="L130" s="126"/>
    </row>
    <row r="131" spans="1:12" s="125" customFormat="1" ht="20.100000000000001" customHeight="1" x14ac:dyDescent="0.15">
      <c r="A131" s="92"/>
      <c r="B131" s="93"/>
      <c r="C131" s="93"/>
      <c r="D131" s="171"/>
      <c r="E131" s="160"/>
      <c r="F131" s="171"/>
      <c r="G131" s="248"/>
      <c r="H131" s="177" t="s">
        <v>242</v>
      </c>
      <c r="I131" s="132">
        <f>500000</f>
        <v>500000</v>
      </c>
      <c r="L131" s="126"/>
    </row>
    <row r="132" spans="1:12" s="125" customFormat="1" ht="20.100000000000001" customHeight="1" x14ac:dyDescent="0.15">
      <c r="A132" s="92"/>
      <c r="B132" s="93"/>
      <c r="C132" s="93"/>
      <c r="D132" s="171"/>
      <c r="E132" s="160"/>
      <c r="F132" s="161"/>
      <c r="G132" s="245"/>
      <c r="H132" s="177" t="s">
        <v>217</v>
      </c>
      <c r="I132" s="136">
        <f>150000*2</f>
        <v>300000</v>
      </c>
      <c r="L132" s="126"/>
    </row>
    <row r="133" spans="1:12" s="125" customFormat="1" ht="19.5" customHeight="1" x14ac:dyDescent="0.15">
      <c r="A133" s="92"/>
      <c r="B133" s="93"/>
      <c r="C133" s="342" t="s">
        <v>102</v>
      </c>
      <c r="D133" s="165">
        <v>600000</v>
      </c>
      <c r="E133" s="158">
        <f>I134</f>
        <v>600000</v>
      </c>
      <c r="F133" s="165">
        <f>E133-D133</f>
        <v>0</v>
      </c>
      <c r="G133" s="223">
        <f>F133/E133*100</f>
        <v>0</v>
      </c>
      <c r="H133" s="159" t="s">
        <v>57</v>
      </c>
      <c r="I133" s="132"/>
      <c r="L133" s="126"/>
    </row>
    <row r="134" spans="1:12" s="125" customFormat="1" ht="20.100000000000001" customHeight="1" x14ac:dyDescent="0.15">
      <c r="A134" s="92"/>
      <c r="B134" s="93"/>
      <c r="C134" s="343"/>
      <c r="D134" s="171"/>
      <c r="E134" s="160"/>
      <c r="F134" s="161"/>
      <c r="G134" s="245"/>
      <c r="H134" s="177" t="s">
        <v>108</v>
      </c>
      <c r="I134" s="132">
        <f>150000*4</f>
        <v>600000</v>
      </c>
      <c r="L134" s="126"/>
    </row>
    <row r="135" spans="1:12" s="125" customFormat="1" ht="20.100000000000001" customHeight="1" x14ac:dyDescent="0.15">
      <c r="A135" s="92"/>
      <c r="B135" s="207" t="s">
        <v>58</v>
      </c>
      <c r="C135" s="194"/>
      <c r="D135" s="179">
        <v>8623000</v>
      </c>
      <c r="E135" s="178">
        <f>E136+E138+E144+E147</f>
        <v>6823000</v>
      </c>
      <c r="F135" s="179">
        <f>F136+F138+F144+F147</f>
        <v>-1800000</v>
      </c>
      <c r="G135" s="255">
        <f>F135/E135*100</f>
        <v>-26.38135717426352</v>
      </c>
      <c r="H135" s="108" t="s">
        <v>58</v>
      </c>
      <c r="I135" s="130"/>
      <c r="L135" s="126"/>
    </row>
    <row r="136" spans="1:12" s="125" customFormat="1" ht="20.100000000000001" customHeight="1" x14ac:dyDescent="0.15">
      <c r="A136" s="92"/>
      <c r="B136" s="93"/>
      <c r="C136" s="213" t="s">
        <v>59</v>
      </c>
      <c r="D136" s="165">
        <v>5200000</v>
      </c>
      <c r="E136" s="158">
        <f>I137</f>
        <v>4000000</v>
      </c>
      <c r="F136" s="165">
        <f t="shared" ref="F136" si="11">E136-D136</f>
        <v>-1200000</v>
      </c>
      <c r="G136" s="244">
        <f>F136/E136*100</f>
        <v>-30</v>
      </c>
      <c r="H136" s="112" t="s">
        <v>61</v>
      </c>
      <c r="I136" s="132"/>
      <c r="L136" s="126"/>
    </row>
    <row r="137" spans="1:12" s="125" customFormat="1" ht="20.100000000000001" customHeight="1" x14ac:dyDescent="0.15">
      <c r="A137" s="92"/>
      <c r="B137" s="93"/>
      <c r="C137" s="214"/>
      <c r="D137" s="171"/>
      <c r="E137" s="160"/>
      <c r="F137" s="161"/>
      <c r="G137" s="245"/>
      <c r="H137" s="106" t="s">
        <v>158</v>
      </c>
      <c r="I137" s="136">
        <f>1000000*4</f>
        <v>4000000</v>
      </c>
      <c r="L137" s="126"/>
    </row>
    <row r="138" spans="1:12" s="125" customFormat="1" ht="20.100000000000001" customHeight="1" x14ac:dyDescent="0.15">
      <c r="A138" s="92"/>
      <c r="B138" s="93"/>
      <c r="C138" s="213" t="s">
        <v>60</v>
      </c>
      <c r="D138" s="165">
        <v>1823000</v>
      </c>
      <c r="E138" s="158">
        <f>I139+I140+I141+I143+I142</f>
        <v>1223000</v>
      </c>
      <c r="F138" s="165">
        <f>E138-D138</f>
        <v>-600000</v>
      </c>
      <c r="G138" s="244">
        <f>F138/E138*100</f>
        <v>-49.059689288634509</v>
      </c>
      <c r="H138" s="117" t="s">
        <v>62</v>
      </c>
      <c r="I138" s="132"/>
      <c r="L138" s="126"/>
    </row>
    <row r="139" spans="1:12" s="125" customFormat="1" ht="20.100000000000001" customHeight="1" x14ac:dyDescent="0.15">
      <c r="A139" s="92"/>
      <c r="B139" s="93"/>
      <c r="C139" s="215"/>
      <c r="D139" s="171"/>
      <c r="E139" s="160"/>
      <c r="F139" s="161"/>
      <c r="G139" s="245"/>
      <c r="H139" s="117" t="s">
        <v>260</v>
      </c>
      <c r="I139" s="132">
        <f>200000*2</f>
        <v>400000</v>
      </c>
      <c r="L139" s="126"/>
    </row>
    <row r="140" spans="1:12" s="125" customFormat="1" ht="20.100000000000001" customHeight="1" x14ac:dyDescent="0.15">
      <c r="A140" s="92"/>
      <c r="B140" s="93"/>
      <c r="C140" s="215"/>
      <c r="D140" s="171"/>
      <c r="E140" s="160"/>
      <c r="F140" s="161"/>
      <c r="G140" s="245"/>
      <c r="H140" s="117" t="s">
        <v>132</v>
      </c>
      <c r="I140" s="132">
        <f>28000*6</f>
        <v>168000</v>
      </c>
      <c r="L140" s="126"/>
    </row>
    <row r="141" spans="1:12" s="125" customFormat="1" ht="20.100000000000001" customHeight="1" x14ac:dyDescent="0.15">
      <c r="A141" s="92"/>
      <c r="B141" s="93"/>
      <c r="C141" s="215"/>
      <c r="D141" s="171"/>
      <c r="E141" s="160"/>
      <c r="F141" s="161"/>
      <c r="G141" s="245"/>
      <c r="H141" s="117" t="s">
        <v>145</v>
      </c>
      <c r="I141" s="132">
        <f>35000*1</f>
        <v>35000</v>
      </c>
      <c r="L141" s="126"/>
    </row>
    <row r="142" spans="1:12" s="125" customFormat="1" ht="20.100000000000001" customHeight="1" x14ac:dyDescent="0.15">
      <c r="A142" s="92"/>
      <c r="B142" s="93"/>
      <c r="C142" s="215"/>
      <c r="D142" s="171"/>
      <c r="E142" s="160"/>
      <c r="F142" s="161"/>
      <c r="G142" s="245"/>
      <c r="H142" s="117" t="s">
        <v>141</v>
      </c>
      <c r="I142" s="132">
        <f>500000*1</f>
        <v>500000</v>
      </c>
      <c r="L142" s="126"/>
    </row>
    <row r="143" spans="1:12" s="125" customFormat="1" ht="20.100000000000001" customHeight="1" x14ac:dyDescent="0.15">
      <c r="A143" s="144"/>
      <c r="B143" s="145"/>
      <c r="C143" s="193"/>
      <c r="D143" s="170"/>
      <c r="E143" s="162"/>
      <c r="F143" s="163"/>
      <c r="G143" s="247"/>
      <c r="H143" s="164" t="s">
        <v>140</v>
      </c>
      <c r="I143" s="147">
        <f>30000*4</f>
        <v>120000</v>
      </c>
      <c r="L143" s="126"/>
    </row>
    <row r="144" spans="1:12" s="186" customFormat="1" ht="20.100000000000001" customHeight="1" x14ac:dyDescent="0.15">
      <c r="A144" s="92"/>
      <c r="B144" s="93"/>
      <c r="C144" s="195" t="s">
        <v>69</v>
      </c>
      <c r="D144" s="171">
        <v>1400000</v>
      </c>
      <c r="E144" s="160">
        <f>I145+I146</f>
        <v>1400000</v>
      </c>
      <c r="F144" s="171">
        <f>E144-D144</f>
        <v>0</v>
      </c>
      <c r="G144" s="222">
        <f>F144/E144*100</f>
        <v>0</v>
      </c>
      <c r="H144" s="117" t="s">
        <v>63</v>
      </c>
      <c r="I144" s="132"/>
      <c r="L144" s="187"/>
    </row>
    <row r="145" spans="1:12" s="125" customFormat="1" ht="20.100000000000001" customHeight="1" x14ac:dyDescent="0.15">
      <c r="A145" s="92"/>
      <c r="B145" s="93"/>
      <c r="C145" s="196"/>
      <c r="D145" s="171"/>
      <c r="E145" s="160"/>
      <c r="F145" s="161"/>
      <c r="G145" s="245"/>
      <c r="H145" s="117" t="s">
        <v>187</v>
      </c>
      <c r="I145" s="132">
        <f>300000*2</f>
        <v>600000</v>
      </c>
      <c r="L145" s="126"/>
    </row>
    <row r="146" spans="1:12" s="125" customFormat="1" ht="20.100000000000001" customHeight="1" x14ac:dyDescent="0.15">
      <c r="A146" s="92"/>
      <c r="B146" s="134"/>
      <c r="C146" s="197"/>
      <c r="D146" s="168"/>
      <c r="E146" s="169"/>
      <c r="F146" s="167"/>
      <c r="G146" s="250"/>
      <c r="H146" s="106" t="s">
        <v>143</v>
      </c>
      <c r="I146" s="136">
        <f>200000*4</f>
        <v>800000</v>
      </c>
      <c r="L146" s="126"/>
    </row>
    <row r="147" spans="1:12" s="125" customFormat="1" ht="20.100000000000001" customHeight="1" x14ac:dyDescent="0.15">
      <c r="A147" s="140"/>
      <c r="B147" s="93"/>
      <c r="C147" s="196" t="s">
        <v>64</v>
      </c>
      <c r="D147" s="171">
        <v>200000</v>
      </c>
      <c r="E147" s="160">
        <f>I148</f>
        <v>200000</v>
      </c>
      <c r="F147" s="171">
        <f>E147-D147</f>
        <v>0</v>
      </c>
      <c r="G147" s="222">
        <f>F147/E147*100</f>
        <v>0</v>
      </c>
      <c r="H147" s="117" t="s">
        <v>64</v>
      </c>
      <c r="I147" s="132"/>
      <c r="L147" s="126"/>
    </row>
    <row r="148" spans="1:12" s="125" customFormat="1" ht="20.100000000000001" customHeight="1" x14ac:dyDescent="0.15">
      <c r="A148" s="188"/>
      <c r="B148" s="134"/>
      <c r="C148" s="197"/>
      <c r="D148" s="168"/>
      <c r="E148" s="169"/>
      <c r="F148" s="171">
        <f t="shared" ref="F148:F149" si="12">E148-D148</f>
        <v>0</v>
      </c>
      <c r="G148" s="252"/>
      <c r="H148" s="106" t="s">
        <v>126</v>
      </c>
      <c r="I148" s="136">
        <f>100000*2</f>
        <v>200000</v>
      </c>
      <c r="L148" s="126"/>
    </row>
    <row r="149" spans="1:12" s="125" customFormat="1" ht="20.100000000000001" customHeight="1" x14ac:dyDescent="0.15">
      <c r="A149" s="209" t="s">
        <v>65</v>
      </c>
      <c r="B149" s="210"/>
      <c r="C149" s="198"/>
      <c r="D149" s="153">
        <v>292371</v>
      </c>
      <c r="E149" s="152">
        <f>E150</f>
        <v>243292</v>
      </c>
      <c r="F149" s="153">
        <f t="shared" si="12"/>
        <v>-49079</v>
      </c>
      <c r="G149" s="256">
        <f>F149/E149*100</f>
        <v>-20.172878680762214</v>
      </c>
      <c r="H149" s="108" t="s">
        <v>65</v>
      </c>
      <c r="I149" s="130"/>
      <c r="L149" s="126"/>
    </row>
    <row r="150" spans="1:12" s="125" customFormat="1" ht="20.100000000000001" customHeight="1" x14ac:dyDescent="0.15">
      <c r="A150" s="77"/>
      <c r="B150" s="199" t="s">
        <v>65</v>
      </c>
      <c r="C150" s="194"/>
      <c r="D150" s="156">
        <v>292371</v>
      </c>
      <c r="E150" s="155">
        <f>E151+E153</f>
        <v>243292</v>
      </c>
      <c r="F150" s="165">
        <f t="shared" si="0"/>
        <v>-49079</v>
      </c>
      <c r="G150" s="255">
        <f>F150/E150*100</f>
        <v>-20.172878680762214</v>
      </c>
      <c r="H150" s="108" t="s">
        <v>65</v>
      </c>
      <c r="I150" s="130"/>
      <c r="J150" s="102"/>
      <c r="K150" s="102"/>
      <c r="L150" s="126"/>
    </row>
    <row r="151" spans="1:12" s="125" customFormat="1" ht="20.100000000000001" customHeight="1" x14ac:dyDescent="0.15">
      <c r="A151" s="140"/>
      <c r="B151" s="93"/>
      <c r="C151" s="196" t="s">
        <v>66</v>
      </c>
      <c r="D151" s="171">
        <v>272371</v>
      </c>
      <c r="E151" s="160">
        <f>I152</f>
        <v>223292</v>
      </c>
      <c r="F151" s="165">
        <f t="shared" si="0"/>
        <v>-49079</v>
      </c>
      <c r="G151" s="221">
        <f>F151/E151*100</f>
        <v>-21.979739533883883</v>
      </c>
      <c r="H151" s="173" t="s">
        <v>66</v>
      </c>
      <c r="I151" s="132"/>
      <c r="L151" s="126"/>
    </row>
    <row r="152" spans="1:12" s="186" customFormat="1" ht="20.100000000000001" customHeight="1" x14ac:dyDescent="0.15">
      <c r="A152" s="92"/>
      <c r="B152" s="135"/>
      <c r="C152" s="197"/>
      <c r="D152" s="168"/>
      <c r="E152" s="169"/>
      <c r="F152" s="168"/>
      <c r="G152" s="220"/>
      <c r="H152" s="180" t="s">
        <v>273</v>
      </c>
      <c r="I152" s="136">
        <v>223292</v>
      </c>
      <c r="L152" s="187"/>
    </row>
    <row r="153" spans="1:12" ht="20.100000000000001" customHeight="1" x14ac:dyDescent="0.15">
      <c r="A153" s="92"/>
      <c r="B153" s="135"/>
      <c r="C153" s="200" t="s">
        <v>118</v>
      </c>
      <c r="D153" s="165">
        <v>20000</v>
      </c>
      <c r="E153" s="158">
        <f>I154</f>
        <v>20000</v>
      </c>
      <c r="F153" s="165">
        <f t="shared" si="0"/>
        <v>0</v>
      </c>
      <c r="G153" s="223">
        <f>F153/E153*100</f>
        <v>0</v>
      </c>
      <c r="H153" s="175" t="s">
        <v>118</v>
      </c>
      <c r="I153" s="132"/>
    </row>
    <row r="154" spans="1:12" ht="20.100000000000001" customHeight="1" x14ac:dyDescent="0.15">
      <c r="A154" s="201"/>
      <c r="B154" s="145"/>
      <c r="C154" s="202"/>
      <c r="D154" s="170"/>
      <c r="E154" s="162"/>
      <c r="F154" s="170"/>
      <c r="G154" s="251"/>
      <c r="H154" s="164" t="s">
        <v>146</v>
      </c>
      <c r="I154" s="147">
        <f>20000*1</f>
        <v>20000</v>
      </c>
    </row>
    <row r="155" spans="1:12" x14ac:dyDescent="0.15">
      <c r="A155" s="125"/>
      <c r="B155" s="125"/>
      <c r="C155" s="125"/>
      <c r="D155" s="70"/>
      <c r="E155" s="149"/>
      <c r="F155" s="99"/>
      <c r="G155" s="242"/>
      <c r="H155" s="125"/>
    </row>
    <row r="156" spans="1:12" x14ac:dyDescent="0.15">
      <c r="A156" s="125"/>
      <c r="B156" s="125"/>
      <c r="C156" s="125"/>
      <c r="D156" s="70"/>
      <c r="E156" s="149"/>
      <c r="F156" s="99"/>
      <c r="G156" s="242"/>
      <c r="H156" s="125"/>
    </row>
    <row r="157" spans="1:12" x14ac:dyDescent="0.15">
      <c r="A157" s="125"/>
      <c r="B157" s="125"/>
      <c r="C157" s="125"/>
      <c r="D157" s="70"/>
      <c r="E157" s="149"/>
      <c r="F157" s="99"/>
      <c r="G157" s="242"/>
      <c r="H157" s="125"/>
    </row>
    <row r="158" spans="1:12" x14ac:dyDescent="0.15">
      <c r="A158" s="125"/>
      <c r="B158" s="125"/>
      <c r="C158" s="125"/>
      <c r="D158" s="70"/>
      <c r="E158" s="149"/>
      <c r="F158" s="99"/>
      <c r="G158" s="242"/>
      <c r="H158" s="125"/>
    </row>
    <row r="159" spans="1:12" x14ac:dyDescent="0.15">
      <c r="A159" s="125"/>
      <c r="B159" s="125"/>
      <c r="C159" s="125"/>
      <c r="D159" s="70"/>
      <c r="E159" s="149"/>
      <c r="F159" s="99"/>
      <c r="G159" s="242"/>
      <c r="H159" s="125"/>
    </row>
    <row r="160" spans="1:12" x14ac:dyDescent="0.15">
      <c r="D160" s="70"/>
    </row>
    <row r="161" spans="4:4" x14ac:dyDescent="0.15">
      <c r="D161" s="70"/>
    </row>
  </sheetData>
  <customSheetViews>
    <customSheetView guid="{29BE6789-D580-482F-AE13-9E62D887C1AB}" showPageBreaks="1" printArea="1" view="pageBreakPreview" topLeftCell="A126">
      <selection activeCell="E140" sqref="E140"/>
      <rowBreaks count="5" manualBreakCount="5">
        <brk id="25" max="8" man="1"/>
        <brk id="49" max="8" man="1"/>
        <brk id="72" max="8" man="1"/>
        <brk id="95" max="8" man="1"/>
        <brk id="118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74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15">
    <mergeCell ref="A1:H1"/>
    <mergeCell ref="C133:C134"/>
    <mergeCell ref="F4:G4"/>
    <mergeCell ref="H4:I5"/>
    <mergeCell ref="A6:C6"/>
    <mergeCell ref="H3:I3"/>
    <mergeCell ref="A86:A87"/>
    <mergeCell ref="A3:C3"/>
    <mergeCell ref="A4:C4"/>
    <mergeCell ref="D4:D5"/>
    <mergeCell ref="E4:E5"/>
    <mergeCell ref="C106:C107"/>
    <mergeCell ref="C113:C114"/>
    <mergeCell ref="C119:C120"/>
    <mergeCell ref="C115:C116"/>
  </mergeCells>
  <phoneticPr fontId="2" type="noConversion"/>
  <printOptions horizontalCentered="1"/>
  <pageMargins left="0.70866141732283461" right="0.70866141732283461" top="0.94488188976377951" bottom="0.74803149606299213" header="0.31496062992125984" footer="0.31496062992125984"/>
  <pageSetup paperSize="9" scale="61" firstPageNumber="3" fitToWidth="0" fitToHeight="0" orientation="landscape" useFirstPageNumber="1" horizontalDpi="4294967294" r:id="rId2"/>
  <headerFooter alignWithMargins="0">
    <oddFooter xml:space="preserve">&amp;R참좋은기억학교(2023. 12. 04.)
</oddFooter>
  </headerFooter>
  <rowBreaks count="5" manualBreakCount="5">
    <brk id="25" max="8" man="1"/>
    <brk id="56" max="8" man="1"/>
    <brk id="84" max="8" man="1"/>
    <brk id="112" max="8" man="1"/>
    <brk id="14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view="pageBreakPreview" zoomScaleNormal="100" zoomScaleSheetLayoutView="100" workbookViewId="0">
      <selection activeCell="E14" sqref="E14"/>
    </sheetView>
  </sheetViews>
  <sheetFormatPr defaultRowHeight="13.5" x14ac:dyDescent="0.15"/>
  <cols>
    <col min="1" max="1" width="11.77734375" style="43" customWidth="1"/>
    <col min="2" max="2" width="13.44140625" style="43" customWidth="1"/>
    <col min="3" max="3" width="15.6640625" style="44" customWidth="1"/>
    <col min="4" max="4" width="12.88671875" style="62" customWidth="1"/>
    <col min="5" max="5" width="12.77734375" style="58" customWidth="1"/>
    <col min="6" max="6" width="12.88671875" style="282" customWidth="1"/>
    <col min="7" max="7" width="10.44140625" style="43" bestFit="1" customWidth="1"/>
    <col min="8" max="8" width="12.44140625" style="43" bestFit="1" customWidth="1"/>
    <col min="9" max="16384" width="8.88671875" style="43"/>
  </cols>
  <sheetData>
    <row r="1" spans="1:9" ht="46.5" customHeight="1" x14ac:dyDescent="0.15">
      <c r="A1" s="353" t="s">
        <v>168</v>
      </c>
      <c r="B1" s="354"/>
      <c r="C1" s="354"/>
      <c r="D1" s="354"/>
      <c r="E1" s="354"/>
      <c r="F1" s="355"/>
    </row>
    <row r="2" spans="1:9" s="47" customFormat="1" ht="23.1" customHeight="1" x14ac:dyDescent="0.15">
      <c r="A2" s="362" t="s">
        <v>119</v>
      </c>
      <c r="B2" s="363"/>
      <c r="C2" s="286"/>
      <c r="D2" s="287"/>
      <c r="E2" s="288"/>
      <c r="F2" s="272"/>
    </row>
    <row r="3" spans="1:9" s="47" customFormat="1" ht="23.1" customHeight="1" x14ac:dyDescent="0.15">
      <c r="A3" s="364" t="s">
        <v>120</v>
      </c>
      <c r="B3" s="365"/>
      <c r="C3" s="56"/>
      <c r="D3" s="268"/>
      <c r="E3" s="57"/>
      <c r="F3" s="273" t="s">
        <v>121</v>
      </c>
    </row>
    <row r="4" spans="1:9" s="47" customFormat="1" ht="23.1" customHeight="1" thickBot="1" x14ac:dyDescent="0.2">
      <c r="A4" s="63" t="s">
        <v>2</v>
      </c>
      <c r="B4" s="60" t="s">
        <v>3</v>
      </c>
      <c r="C4" s="60" t="s">
        <v>17</v>
      </c>
      <c r="D4" s="269" t="str">
        <f>최초예산총괄!C4</f>
        <v>2023년 결산추경
(A)</v>
      </c>
      <c r="E4" s="61" t="str">
        <f>최초예산총괄!D4</f>
        <v>2024년 최초예산
(B)</v>
      </c>
      <c r="F4" s="274" t="s">
        <v>92</v>
      </c>
    </row>
    <row r="5" spans="1:9" s="47" customFormat="1" ht="20.100000000000001" customHeight="1" thickTop="1" x14ac:dyDescent="0.15">
      <c r="A5" s="356" t="s">
        <v>90</v>
      </c>
      <c r="B5" s="357"/>
      <c r="C5" s="358"/>
      <c r="D5" s="265">
        <f>'최초예산내역-세입'!D6</f>
        <v>452300000</v>
      </c>
      <c r="E5" s="265">
        <f>'최초예산내역-세입'!E6</f>
        <v>491800000</v>
      </c>
      <c r="F5" s="275">
        <f t="shared" ref="F5" si="0">E5-D5</f>
        <v>39500000</v>
      </c>
      <c r="G5" s="48"/>
      <c r="H5" s="203"/>
    </row>
    <row r="6" spans="1:9" s="47" customFormat="1" ht="20.100000000000001" customHeight="1" x14ac:dyDescent="0.15">
      <c r="A6" s="64" t="str">
        <f>'최초예산내역-세입'!A7:C7</f>
        <v>입소자부담금수입</v>
      </c>
      <c r="B6" s="45" t="str">
        <f>'최초예산내역-세입'!B8:C8</f>
        <v>입소비용수입</v>
      </c>
      <c r="C6" s="45" t="str">
        <f>'최초예산내역-세입'!C9</f>
        <v>입소비용수입</v>
      </c>
      <c r="D6" s="85">
        <f>'최초예산내역-세입'!D9</f>
        <v>61965000</v>
      </c>
      <c r="E6" s="85">
        <f>'최초예산내역-세입'!E9</f>
        <v>60515000</v>
      </c>
      <c r="F6" s="276">
        <f>E6-D6</f>
        <v>-1450000</v>
      </c>
      <c r="G6" s="48"/>
      <c r="H6" s="48"/>
    </row>
    <row r="7" spans="1:9" s="47" customFormat="1" ht="20.100000000000001" customHeight="1" x14ac:dyDescent="0.15">
      <c r="A7" s="65"/>
      <c r="B7" s="55"/>
      <c r="C7" s="55"/>
      <c r="D7" s="359" t="s">
        <v>274</v>
      </c>
      <c r="E7" s="360"/>
      <c r="F7" s="361"/>
    </row>
    <row r="8" spans="1:9" s="47" customFormat="1" ht="20.100000000000001" customHeight="1" x14ac:dyDescent="0.15">
      <c r="A8" s="204" t="str">
        <f>'최초예산내역-세입'!A11:C11</f>
        <v>보조금수입</v>
      </c>
      <c r="B8" s="45" t="str">
        <f>'최초예산내역-세입'!B12:C12</f>
        <v>보조금수입</v>
      </c>
      <c r="C8" s="45" t="str">
        <f>'최초예산내역-세입'!C15</f>
        <v>시군구보조금</v>
      </c>
      <c r="D8" s="85">
        <f>'최초예산내역-세입'!D15</f>
        <v>367346640</v>
      </c>
      <c r="E8" s="85">
        <f>'최초예산내역-세입'!E15</f>
        <v>393620512</v>
      </c>
      <c r="F8" s="277">
        <f>'최초예산내역-세입'!F15</f>
        <v>26273872</v>
      </c>
      <c r="I8" s="48"/>
    </row>
    <row r="9" spans="1:9" s="47" customFormat="1" ht="20.100000000000001" customHeight="1" x14ac:dyDescent="0.15">
      <c r="A9" s="65"/>
      <c r="B9" s="55"/>
      <c r="C9" s="55"/>
      <c r="D9" s="285" t="s">
        <v>224</v>
      </c>
      <c r="E9" s="262"/>
      <c r="F9" s="278"/>
    </row>
    <row r="10" spans="1:9" s="47" customFormat="1" ht="20.100000000000001" customHeight="1" x14ac:dyDescent="0.15">
      <c r="A10" s="64" t="str">
        <f>'최초예산내역-세입'!A18:C18</f>
        <v>후원금수입</v>
      </c>
      <c r="B10" s="45" t="str">
        <f>'최초예산내역-세입'!B19:C19</f>
        <v>후원금수입</v>
      </c>
      <c r="C10" s="45" t="str">
        <f>'최초예산내역-세입'!C20</f>
        <v>지정후원금</v>
      </c>
      <c r="D10" s="85">
        <f>'최초예산내역-세입'!D20</f>
        <v>450000</v>
      </c>
      <c r="E10" s="85">
        <f>'최초예산내역-세입'!E20</f>
        <v>0</v>
      </c>
      <c r="F10" s="293">
        <f>E10-D10</f>
        <v>-450000</v>
      </c>
      <c r="H10" s="203"/>
      <c r="I10" s="48"/>
    </row>
    <row r="11" spans="1:9" s="47" customFormat="1" ht="20.100000000000001" customHeight="1" x14ac:dyDescent="0.15">
      <c r="A11" s="65"/>
      <c r="B11" s="55"/>
      <c r="C11" s="55"/>
      <c r="D11" s="285" t="s">
        <v>225</v>
      </c>
      <c r="E11" s="262"/>
      <c r="F11" s="278"/>
    </row>
    <row r="12" spans="1:9" s="47" customFormat="1" ht="20.100000000000001" customHeight="1" x14ac:dyDescent="0.15">
      <c r="A12" s="64" t="str">
        <f>'최초예산내역-세입'!A23:C23</f>
        <v>전입금</v>
      </c>
      <c r="B12" s="45" t="str">
        <f>'최초예산내역-세입'!B24:C24</f>
        <v>전입금</v>
      </c>
      <c r="C12" s="45" t="str">
        <f>'최초예산내역-세입'!C25</f>
        <v>법인전입금(후원금)</v>
      </c>
      <c r="D12" s="85">
        <f>'최초예산내역-세입'!D25</f>
        <v>0</v>
      </c>
      <c r="E12" s="85">
        <f>'최초예산내역-세입'!E25</f>
        <v>3600000</v>
      </c>
      <c r="F12" s="293">
        <f>'최초예산내역-세입'!F25</f>
        <v>3600000</v>
      </c>
      <c r="H12" s="203"/>
      <c r="I12" s="48"/>
    </row>
    <row r="13" spans="1:9" s="47" customFormat="1" ht="20.100000000000001" customHeight="1" x14ac:dyDescent="0.15">
      <c r="A13" s="65"/>
      <c r="B13" s="55"/>
      <c r="C13" s="55"/>
      <c r="D13" s="303" t="s">
        <v>279</v>
      </c>
      <c r="E13" s="302"/>
      <c r="F13" s="278"/>
    </row>
    <row r="14" spans="1:9" s="47" customFormat="1" ht="20.100000000000001" customHeight="1" x14ac:dyDescent="0.15">
      <c r="A14" s="64" t="s">
        <v>22</v>
      </c>
      <c r="B14" s="45" t="s">
        <v>22</v>
      </c>
      <c r="C14" s="45" t="str">
        <f>'최초예산내역-세입'!C31</f>
        <v>기타잡수입</v>
      </c>
      <c r="D14" s="85">
        <f>'최초예산내역-세입'!D31</f>
        <v>7743897</v>
      </c>
      <c r="E14" s="85">
        <f>'최초예산내역-세입'!E31</f>
        <v>8002518</v>
      </c>
      <c r="F14" s="277">
        <f>E14-D14</f>
        <v>258621</v>
      </c>
    </row>
    <row r="15" spans="1:9" s="47" customFormat="1" ht="20.100000000000001" customHeight="1" x14ac:dyDescent="0.15">
      <c r="A15" s="65"/>
      <c r="B15" s="55"/>
      <c r="C15" s="55"/>
      <c r="D15" s="285" t="s">
        <v>153</v>
      </c>
      <c r="E15" s="262"/>
      <c r="F15" s="278"/>
    </row>
    <row r="16" spans="1:9" s="47" customFormat="1" ht="20.100000000000001" customHeight="1" x14ac:dyDescent="0.15">
      <c r="A16" s="64" t="str">
        <f>'최초예산내역-세입'!A35</f>
        <v xml:space="preserve">이월금 </v>
      </c>
      <c r="B16" s="45" t="str">
        <f>'최초예산내역-세입'!B36</f>
        <v xml:space="preserve">전년도이월금 </v>
      </c>
      <c r="C16" s="258" t="str">
        <f>'최초예산내역-세입'!C37</f>
        <v>전년도이월금</v>
      </c>
      <c r="D16" s="85">
        <f>'최초예산내역-세입'!D37</f>
        <v>13864363</v>
      </c>
      <c r="E16" s="258">
        <f>'최초예산내역-세입'!E37</f>
        <v>25131870</v>
      </c>
      <c r="F16" s="293">
        <f>'최초예산내역-세입'!F37</f>
        <v>11267507</v>
      </c>
    </row>
    <row r="17" spans="1:9" s="47" customFormat="1" ht="20.100000000000001" customHeight="1" x14ac:dyDescent="0.15">
      <c r="A17" s="289"/>
      <c r="B17" s="290"/>
      <c r="C17" s="290"/>
      <c r="D17" s="291" t="s">
        <v>226</v>
      </c>
      <c r="E17" s="263"/>
      <c r="F17" s="292"/>
    </row>
    <row r="18" spans="1:9" s="47" customFormat="1" ht="23.1" customHeight="1" x14ac:dyDescent="0.15">
      <c r="A18" s="66"/>
      <c r="C18" s="44"/>
      <c r="D18" s="270"/>
      <c r="E18" s="48"/>
      <c r="F18" s="279"/>
    </row>
    <row r="19" spans="1:9" s="47" customFormat="1" ht="20.100000000000001" customHeight="1" x14ac:dyDescent="0.15">
      <c r="A19" s="364" t="s">
        <v>122</v>
      </c>
      <c r="B19" s="365"/>
      <c r="C19" s="44"/>
      <c r="D19" s="270"/>
      <c r="E19" s="48"/>
      <c r="F19" s="279" t="s">
        <v>121</v>
      </c>
      <c r="G19" s="48"/>
      <c r="H19" s="48"/>
    </row>
    <row r="20" spans="1:9" s="47" customFormat="1" ht="23.1" customHeight="1" thickBot="1" x14ac:dyDescent="0.2">
      <c r="A20" s="63" t="s">
        <v>2</v>
      </c>
      <c r="B20" s="60" t="s">
        <v>3</v>
      </c>
      <c r="C20" s="60" t="s">
        <v>17</v>
      </c>
      <c r="D20" s="269" t="str">
        <f>최초예산총괄!C4</f>
        <v>2023년 결산추경
(A)</v>
      </c>
      <c r="E20" s="61" t="str">
        <f>최초예산총괄!D4</f>
        <v>2024년 최초예산
(B)</v>
      </c>
      <c r="F20" s="274" t="s">
        <v>92</v>
      </c>
      <c r="I20" s="48"/>
    </row>
    <row r="21" spans="1:9" s="47" customFormat="1" ht="20.100000000000001" customHeight="1" thickTop="1" x14ac:dyDescent="0.15">
      <c r="A21" s="356" t="s">
        <v>91</v>
      </c>
      <c r="B21" s="357"/>
      <c r="C21" s="358"/>
      <c r="D21" s="266">
        <f>'최초예산내역-세출'!D6</f>
        <v>452299999.90333748</v>
      </c>
      <c r="E21" s="266">
        <f>'최초예산내역-세출'!E6</f>
        <v>491800000.13514787</v>
      </c>
      <c r="F21" s="275">
        <f t="shared" ref="F21" si="1">E21-D21</f>
        <v>39500000.231810391</v>
      </c>
      <c r="H21" s="48"/>
    </row>
    <row r="22" spans="1:9" s="47" customFormat="1" ht="20.100000000000001" customHeight="1" x14ac:dyDescent="0.15">
      <c r="A22" s="67" t="str">
        <f>'최초예산내역-세출'!A7</f>
        <v>사무비</v>
      </c>
      <c r="B22" s="45" t="str">
        <f>'최초예산내역-세출'!B8</f>
        <v>인건비</v>
      </c>
      <c r="C22" s="53" t="str">
        <f>'최초예산내역-세출'!C9</f>
        <v>급여</v>
      </c>
      <c r="D22" s="271">
        <f>'최초예산내역-세출'!D9</f>
        <v>254333160</v>
      </c>
      <c r="E22" s="69">
        <f>'최초예산내역-세출'!E9</f>
        <v>274471556</v>
      </c>
      <c r="F22" s="280">
        <f>'최초예산내역-세출'!F9</f>
        <v>20138396</v>
      </c>
    </row>
    <row r="23" spans="1:9" s="47" customFormat="1" ht="20.100000000000001" customHeight="1" x14ac:dyDescent="0.15">
      <c r="A23" s="66"/>
      <c r="B23" s="46"/>
      <c r="C23" s="54"/>
      <c r="D23" s="350" t="s">
        <v>266</v>
      </c>
      <c r="E23" s="351"/>
      <c r="F23" s="352"/>
    </row>
    <row r="24" spans="1:9" s="47" customFormat="1" ht="20.100000000000001" customHeight="1" x14ac:dyDescent="0.15">
      <c r="A24" s="77" t="str">
        <f>'최초예산내역-세출'!A7</f>
        <v>사무비</v>
      </c>
      <c r="B24" s="34" t="str">
        <f>'최초예산내역-세출'!B8</f>
        <v>인건비</v>
      </c>
      <c r="C24" s="53" t="str">
        <f>'최초예산내역-세출'!C26</f>
        <v>제수당</v>
      </c>
      <c r="D24" s="76">
        <f>'최초예산내역-세출'!D26</f>
        <v>36413700</v>
      </c>
      <c r="E24" s="76">
        <f>'최초예산내역-세출'!E26</f>
        <v>39560652</v>
      </c>
      <c r="F24" s="280">
        <f>'최초예산내역-세출'!F26</f>
        <v>3146952</v>
      </c>
    </row>
    <row r="25" spans="1:9" s="47" customFormat="1" ht="20.100000000000001" customHeight="1" x14ac:dyDescent="0.15">
      <c r="A25" s="67"/>
      <c r="B25" s="294"/>
      <c r="C25" s="78"/>
      <c r="D25" s="350" t="s">
        <v>266</v>
      </c>
      <c r="E25" s="351"/>
      <c r="F25" s="352"/>
    </row>
    <row r="26" spans="1:9" s="47" customFormat="1" ht="20.100000000000001" customHeight="1" x14ac:dyDescent="0.15">
      <c r="A26" s="77" t="str">
        <f>'최초예산내역-세출'!A7</f>
        <v>사무비</v>
      </c>
      <c r="B26" s="34" t="str">
        <f>'최초예산내역-세출'!B8</f>
        <v>인건비</v>
      </c>
      <c r="C26" s="53" t="str">
        <f>'최초예산내역-세출'!C35</f>
        <v>퇴직금 및 퇴직적립금</v>
      </c>
      <c r="D26" s="75">
        <f>'최초예산내역-세출'!D35</f>
        <v>24303825</v>
      </c>
      <c r="E26" s="75">
        <f>'최초예산내역-세출'!E35</f>
        <v>26469350.666666668</v>
      </c>
      <c r="F26" s="280">
        <f>'최초예산내역-세출'!F35</f>
        <v>2165525.6666666679</v>
      </c>
      <c r="G26" s="48"/>
      <c r="H26" s="48"/>
    </row>
    <row r="27" spans="1:9" s="47" customFormat="1" ht="20.100000000000001" customHeight="1" x14ac:dyDescent="0.15">
      <c r="A27" s="67"/>
      <c r="B27" s="294"/>
      <c r="C27" s="78"/>
      <c r="D27" s="350" t="s">
        <v>267</v>
      </c>
      <c r="E27" s="351"/>
      <c r="F27" s="352"/>
      <c r="G27" s="48"/>
      <c r="H27" s="48"/>
    </row>
    <row r="28" spans="1:9" s="47" customFormat="1" ht="20.100000000000001" customHeight="1" x14ac:dyDescent="0.15">
      <c r="A28" s="77" t="str">
        <f>'최초예산내역-세출'!A7</f>
        <v>사무비</v>
      </c>
      <c r="B28" s="34" t="str">
        <f>'최초예산내역-세출'!B8</f>
        <v>인건비</v>
      </c>
      <c r="C28" s="53" t="str">
        <f>'최초예산내역-세출'!C37</f>
        <v>사회보험부담금</v>
      </c>
      <c r="D28" s="75">
        <f>'최초예산내역-세출'!D37</f>
        <v>29654747.903337501</v>
      </c>
      <c r="E28" s="75">
        <f>'최초예산내역-세출'!E37</f>
        <v>32318953.468481198</v>
      </c>
      <c r="F28" s="280">
        <f>'최초예산내역-세출'!F37</f>
        <v>2664205.565143697</v>
      </c>
    </row>
    <row r="29" spans="1:9" s="47" customFormat="1" ht="20.100000000000001" customHeight="1" x14ac:dyDescent="0.15">
      <c r="A29" s="67"/>
      <c r="B29" s="294"/>
      <c r="C29" s="78"/>
      <c r="D29" s="350" t="s">
        <v>227</v>
      </c>
      <c r="E29" s="351"/>
      <c r="F29" s="352"/>
    </row>
    <row r="30" spans="1:9" s="47" customFormat="1" ht="20.100000000000001" customHeight="1" x14ac:dyDescent="0.15">
      <c r="A30" s="77" t="str">
        <f>'최초예산내역-세출'!A7</f>
        <v>사무비</v>
      </c>
      <c r="B30" s="34" t="str">
        <f>B28</f>
        <v>인건비</v>
      </c>
      <c r="C30" s="53" t="str">
        <f>'최초예산내역-세출'!C43</f>
        <v>기타후생경비</v>
      </c>
      <c r="D30" s="264">
        <f>'최초예산내역-세출'!D43</f>
        <v>2340000</v>
      </c>
      <c r="E30" s="264">
        <f>'최초예산내역-세출'!E43</f>
        <v>2710000</v>
      </c>
      <c r="F30" s="295">
        <f>'최초예산내역-세출'!F43</f>
        <v>370000</v>
      </c>
    </row>
    <row r="31" spans="1:9" s="47" customFormat="1" ht="20.100000000000001" customHeight="1" x14ac:dyDescent="0.15">
      <c r="A31" s="67"/>
      <c r="B31" s="294"/>
      <c r="C31" s="78"/>
      <c r="D31" s="350" t="s">
        <v>245</v>
      </c>
      <c r="E31" s="351"/>
      <c r="F31" s="352"/>
    </row>
    <row r="32" spans="1:9" s="47" customFormat="1" ht="20.100000000000001" customHeight="1" x14ac:dyDescent="0.15">
      <c r="A32" s="77" t="str">
        <f>'최초예산내역-세출'!A7</f>
        <v>사무비</v>
      </c>
      <c r="B32" s="34" t="str">
        <f>'최초예산내역-세출'!B48</f>
        <v>업무추진비</v>
      </c>
      <c r="C32" s="267" t="str">
        <f>'최초예산내역-세출'!C49</f>
        <v>기관운영비</v>
      </c>
      <c r="D32" s="75">
        <f>'최초예산내역-세출'!D49</f>
        <v>400000</v>
      </c>
      <c r="E32" s="75">
        <f>'최초예산내역-세출'!E49</f>
        <v>2050000</v>
      </c>
      <c r="F32" s="295">
        <f>'최초예산내역-세출'!F49</f>
        <v>1650000</v>
      </c>
    </row>
    <row r="33" spans="1:6" s="47" customFormat="1" ht="20.100000000000001" customHeight="1" x14ac:dyDescent="0.15">
      <c r="A33" s="67"/>
      <c r="B33" s="294"/>
      <c r="C33" s="78"/>
      <c r="D33" s="350" t="s">
        <v>244</v>
      </c>
      <c r="E33" s="351"/>
      <c r="F33" s="352"/>
    </row>
    <row r="34" spans="1:6" s="47" customFormat="1" ht="20.100000000000001" customHeight="1" x14ac:dyDescent="0.15">
      <c r="A34" s="77" t="str">
        <f>A32</f>
        <v>사무비</v>
      </c>
      <c r="B34" s="34" t="str">
        <f>B32</f>
        <v>업무추진비</v>
      </c>
      <c r="C34" s="267" t="str">
        <f>'최초예산내역-세출'!C53</f>
        <v>직책보조비</v>
      </c>
      <c r="D34" s="75">
        <f>'최초예산내역-세출'!D53</f>
        <v>0</v>
      </c>
      <c r="E34" s="75">
        <f>'최초예산내역-세출'!E53</f>
        <v>3600000</v>
      </c>
      <c r="F34" s="295">
        <f>'최초예산내역-세출'!F53</f>
        <v>3600000</v>
      </c>
    </row>
    <row r="35" spans="1:6" s="47" customFormat="1" ht="20.100000000000001" customHeight="1" x14ac:dyDescent="0.15">
      <c r="A35" s="67"/>
      <c r="B35" s="294"/>
      <c r="C35" s="78"/>
      <c r="D35" s="350" t="s">
        <v>265</v>
      </c>
      <c r="E35" s="351"/>
      <c r="F35" s="352"/>
    </row>
    <row r="36" spans="1:6" s="47" customFormat="1" ht="20.100000000000001" customHeight="1" x14ac:dyDescent="0.15">
      <c r="A36" s="77" t="str">
        <f>'최초예산내역-세출'!A7</f>
        <v>사무비</v>
      </c>
      <c r="B36" s="34" t="str">
        <f>'최초예산내역-세출'!B57</f>
        <v>운영비</v>
      </c>
      <c r="C36" s="53" t="str">
        <f>'최초예산내역-세출'!C81</f>
        <v>기타운영비</v>
      </c>
      <c r="D36" s="76">
        <f>'최초예산내역-세출'!D81</f>
        <v>8100000</v>
      </c>
      <c r="E36" s="76">
        <f>'최초예산내역-세출'!E81</f>
        <v>7400000</v>
      </c>
      <c r="F36" s="280">
        <f>'최초예산내역-세출'!F81</f>
        <v>-700000</v>
      </c>
    </row>
    <row r="37" spans="1:6" s="47" customFormat="1" ht="20.100000000000001" customHeight="1" x14ac:dyDescent="0.15">
      <c r="A37" s="67"/>
      <c r="B37" s="294"/>
      <c r="C37" s="78"/>
      <c r="D37" s="350" t="s">
        <v>248</v>
      </c>
      <c r="E37" s="351"/>
      <c r="F37" s="352"/>
    </row>
    <row r="38" spans="1:6" s="47" customFormat="1" ht="20.100000000000001" customHeight="1" x14ac:dyDescent="0.15">
      <c r="A38" s="77" t="str">
        <f>'최초예산내역-세출'!A7</f>
        <v>사무비</v>
      </c>
      <c r="B38" s="34" t="str">
        <f>'최초예산내역-세출'!B57</f>
        <v>운영비</v>
      </c>
      <c r="C38" s="267" t="str">
        <f>'최초예산내역-세출'!C58</f>
        <v>여비</v>
      </c>
      <c r="D38" s="75">
        <f>'최초예산내역-세출'!D58</f>
        <v>50000</v>
      </c>
      <c r="E38" s="75">
        <f>'최초예산내역-세출'!E58</f>
        <v>300000</v>
      </c>
      <c r="F38" s="296">
        <f>'최초예산내역-세출'!F58</f>
        <v>250000</v>
      </c>
    </row>
    <row r="39" spans="1:6" s="47" customFormat="1" ht="20.100000000000001" customHeight="1" x14ac:dyDescent="0.15">
      <c r="A39" s="67"/>
      <c r="B39" s="294"/>
      <c r="C39" s="78"/>
      <c r="D39" s="350" t="s">
        <v>256</v>
      </c>
      <c r="E39" s="351"/>
      <c r="F39" s="352"/>
    </row>
    <row r="40" spans="1:6" s="47" customFormat="1" ht="20.100000000000001" customHeight="1" x14ac:dyDescent="0.15">
      <c r="A40" s="77" t="str">
        <f>'최초예산내역-세출'!A85</f>
        <v>재산조성비</v>
      </c>
      <c r="B40" s="34" t="str">
        <f>'최초예산내역-세출'!B86</f>
        <v>시설비</v>
      </c>
      <c r="C40" s="53" t="str">
        <f>'최초예산내역-세출'!C87</f>
        <v>자산취득비</v>
      </c>
      <c r="D40" s="75">
        <f>'최초예산내역-세출'!D87</f>
        <v>4609996</v>
      </c>
      <c r="E40" s="75">
        <f>'최초예산내역-세출'!E87</f>
        <v>8659996</v>
      </c>
      <c r="F40" s="296">
        <f>'최초예산내역-세출'!F87</f>
        <v>4050000</v>
      </c>
    </row>
    <row r="41" spans="1:6" s="47" customFormat="1" ht="20.100000000000001" customHeight="1" x14ac:dyDescent="0.15">
      <c r="A41" s="67"/>
      <c r="B41" s="294"/>
      <c r="C41" s="78"/>
      <c r="D41" s="350" t="s">
        <v>249</v>
      </c>
      <c r="E41" s="351"/>
      <c r="F41" s="352"/>
    </row>
    <row r="42" spans="1:6" s="47" customFormat="1" ht="20.100000000000001" customHeight="1" x14ac:dyDescent="0.15">
      <c r="A42" s="77" t="str">
        <f>'최초예산내역-세출'!A96</f>
        <v>사업비</v>
      </c>
      <c r="B42" s="34" t="str">
        <f>'최초예산내역-세출'!B97</f>
        <v>운영비</v>
      </c>
      <c r="C42" s="53" t="str">
        <f>'최초예산내역-세출'!C98</f>
        <v>생계비</v>
      </c>
      <c r="D42" s="75">
        <f>'최초예산내역-세출'!D98</f>
        <v>26800000</v>
      </c>
      <c r="E42" s="75">
        <f>'최초예산내역-세출'!E98</f>
        <v>27200000</v>
      </c>
      <c r="F42" s="280">
        <f>'최초예산내역-세출'!F98</f>
        <v>400000</v>
      </c>
    </row>
    <row r="43" spans="1:6" s="47" customFormat="1" ht="20.100000000000001" customHeight="1" x14ac:dyDescent="0.15">
      <c r="A43" s="67"/>
      <c r="B43" s="294"/>
      <c r="C43" s="78"/>
      <c r="D43" s="350" t="s">
        <v>268</v>
      </c>
      <c r="E43" s="351"/>
      <c r="F43" s="352"/>
    </row>
    <row r="44" spans="1:6" s="47" customFormat="1" ht="20.100000000000001" customHeight="1" x14ac:dyDescent="0.15">
      <c r="A44" s="77" t="str">
        <f>A46</f>
        <v>사업비</v>
      </c>
      <c r="B44" s="34" t="str">
        <f>B46</f>
        <v>사업비</v>
      </c>
      <c r="C44" s="267" t="str">
        <f>'최초예산내역-세출'!C104</f>
        <v>상담사업비</v>
      </c>
      <c r="D44" s="75">
        <f>'최초예산내역-세출'!D104</f>
        <v>1200000</v>
      </c>
      <c r="E44" s="75">
        <f>'최초예산내역-세출'!E104</f>
        <v>1400000</v>
      </c>
      <c r="F44" s="296">
        <f>'최초예산내역-세출'!F104</f>
        <v>200000</v>
      </c>
    </row>
    <row r="45" spans="1:6" s="47" customFormat="1" ht="20.100000000000001" customHeight="1" x14ac:dyDescent="0.15">
      <c r="A45" s="67"/>
      <c r="B45" s="294"/>
      <c r="C45" s="78"/>
      <c r="D45" s="350" t="s">
        <v>268</v>
      </c>
      <c r="E45" s="351"/>
      <c r="F45" s="352"/>
    </row>
    <row r="46" spans="1:6" s="47" customFormat="1" ht="20.100000000000001" customHeight="1" x14ac:dyDescent="0.15">
      <c r="A46" s="77" t="str">
        <f>A48</f>
        <v>사업비</v>
      </c>
      <c r="B46" s="34" t="str">
        <f>B48</f>
        <v>사업비</v>
      </c>
      <c r="C46" s="53" t="s">
        <v>251</v>
      </c>
      <c r="D46" s="76">
        <f>'최초예산내역-세출'!D106</f>
        <v>3010000</v>
      </c>
      <c r="E46" s="76">
        <f>'최초예산내역-세출'!E106</f>
        <v>3840000</v>
      </c>
      <c r="F46" s="297">
        <f>'최초예산내역-세출'!F106</f>
        <v>830000</v>
      </c>
    </row>
    <row r="47" spans="1:6" s="47" customFormat="1" ht="20.100000000000001" customHeight="1" x14ac:dyDescent="0.15">
      <c r="A47" s="67"/>
      <c r="B47" s="294"/>
      <c r="C47" s="78"/>
      <c r="D47" s="350" t="s">
        <v>252</v>
      </c>
      <c r="E47" s="351"/>
      <c r="F47" s="352"/>
    </row>
    <row r="48" spans="1:6" s="47" customFormat="1" ht="20.100000000000001" customHeight="1" x14ac:dyDescent="0.15">
      <c r="A48" s="77" t="str">
        <f>A50</f>
        <v>사업비</v>
      </c>
      <c r="B48" s="34" t="str">
        <f>B50</f>
        <v>사업비</v>
      </c>
      <c r="C48" s="53" t="s">
        <v>250</v>
      </c>
      <c r="D48" s="76">
        <f>'최초예산내역-세출'!D115</f>
        <v>920000</v>
      </c>
      <c r="E48" s="76">
        <f>'최초예산내역-세출'!E115</f>
        <v>1104000</v>
      </c>
      <c r="F48" s="297">
        <f>'최초예산내역-세출'!F115</f>
        <v>184000</v>
      </c>
    </row>
    <row r="49" spans="1:6" s="47" customFormat="1" ht="20.100000000000001" customHeight="1" x14ac:dyDescent="0.15">
      <c r="A49" s="67"/>
      <c r="B49" s="294"/>
      <c r="C49" s="78"/>
      <c r="D49" s="350" t="s">
        <v>253</v>
      </c>
      <c r="E49" s="351"/>
      <c r="F49" s="352"/>
    </row>
    <row r="50" spans="1:6" s="47" customFormat="1" ht="20.100000000000001" customHeight="1" x14ac:dyDescent="0.15">
      <c r="A50" s="77" t="str">
        <f>'최초예산내역-세출'!A96</f>
        <v>사업비</v>
      </c>
      <c r="B50" s="34" t="str">
        <f>'최초예산내역-세출'!B103</f>
        <v>사업비</v>
      </c>
      <c r="C50" s="53" t="str">
        <f>'최초예산내역-세출'!C119</f>
        <v>특별사업지원사업비</v>
      </c>
      <c r="D50" s="76">
        <f>'최초예산내역-세출'!D119</f>
        <v>5210000</v>
      </c>
      <c r="E50" s="76">
        <f>'최초예산내역-세출'!E119</f>
        <v>7610000</v>
      </c>
      <c r="F50" s="283">
        <f>'최초예산내역-세출'!F119</f>
        <v>2400000</v>
      </c>
    </row>
    <row r="51" spans="1:6" s="47" customFormat="1" ht="20.100000000000001" customHeight="1" x14ac:dyDescent="0.15">
      <c r="A51" s="67"/>
      <c r="B51" s="294"/>
      <c r="C51" s="78"/>
      <c r="D51" s="350" t="s">
        <v>254</v>
      </c>
      <c r="E51" s="351"/>
      <c r="F51" s="352"/>
    </row>
    <row r="52" spans="1:6" s="47" customFormat="1" ht="20.100000000000001" customHeight="1" x14ac:dyDescent="0.15">
      <c r="A52" s="77" t="s">
        <v>154</v>
      </c>
      <c r="B52" s="34" t="str">
        <f>'최초예산내역-세출'!B135</f>
        <v>일반사업비</v>
      </c>
      <c r="C52" s="53" t="str">
        <f>'최초예산내역-세출'!C136</f>
        <v>홍보출판사업비</v>
      </c>
      <c r="D52" s="75">
        <f>'최초예산내역-세출'!D136</f>
        <v>5200000</v>
      </c>
      <c r="E52" s="75">
        <f>'최초예산내역-세출'!E136</f>
        <v>4000000</v>
      </c>
      <c r="F52" s="296">
        <f>'최초예산내역-세출'!F136</f>
        <v>-1200000</v>
      </c>
    </row>
    <row r="53" spans="1:6" s="47" customFormat="1" ht="20.100000000000001" customHeight="1" x14ac:dyDescent="0.15">
      <c r="A53" s="94"/>
      <c r="B53" s="95"/>
      <c r="C53" s="78"/>
      <c r="D53" s="350" t="s">
        <v>269</v>
      </c>
      <c r="E53" s="351"/>
      <c r="F53" s="352"/>
    </row>
    <row r="54" spans="1:6" s="47" customFormat="1" ht="20.100000000000001" customHeight="1" x14ac:dyDescent="0.15">
      <c r="A54" s="77" t="s">
        <v>154</v>
      </c>
      <c r="B54" s="34" t="str">
        <f>'최초예산내역-세출'!B135</f>
        <v>일반사업비</v>
      </c>
      <c r="C54" s="53" t="str">
        <f>'최초예산내역-세출'!C138</f>
        <v>직원연수교육비</v>
      </c>
      <c r="D54" s="75">
        <f>'최초예산내역-세출'!D138</f>
        <v>1823000</v>
      </c>
      <c r="E54" s="75">
        <f>'최초예산내역-세출'!E138</f>
        <v>1223000</v>
      </c>
      <c r="F54" s="296">
        <f>'최초예산내역-세출'!F138</f>
        <v>-600000</v>
      </c>
    </row>
    <row r="55" spans="1:6" s="47" customFormat="1" ht="20.100000000000001" customHeight="1" x14ac:dyDescent="0.15">
      <c r="A55" s="94"/>
      <c r="B55" s="95"/>
      <c r="C55" s="78"/>
      <c r="D55" s="350" t="s">
        <v>255</v>
      </c>
      <c r="E55" s="351"/>
      <c r="F55" s="352"/>
    </row>
    <row r="56" spans="1:6" s="47" customFormat="1" ht="20.100000000000001" customHeight="1" x14ac:dyDescent="0.15">
      <c r="A56" s="92" t="str">
        <f>'최초예산내역-세출'!A149</f>
        <v>예비비 및 기타</v>
      </c>
      <c r="B56" s="93" t="str">
        <f>'최초예산내역-세출'!B150:C150</f>
        <v>예비비 및 기타</v>
      </c>
      <c r="C56" s="54" t="str">
        <f>'최초예산내역-세출'!C151</f>
        <v>예비비</v>
      </c>
      <c r="D56" s="91">
        <f>'최초예산내역-세출'!D151</f>
        <v>272371</v>
      </c>
      <c r="E56" s="91">
        <f>'최초예산내역-세출'!E151</f>
        <v>223292</v>
      </c>
      <c r="F56" s="284">
        <f>'최초예산내역-세출'!F151</f>
        <v>-49079</v>
      </c>
    </row>
    <row r="57" spans="1:6" s="47" customFormat="1" ht="20.100000000000001" customHeight="1" x14ac:dyDescent="0.15">
      <c r="A57" s="81"/>
      <c r="B57" s="80"/>
      <c r="C57" s="79"/>
      <c r="D57" s="366" t="s">
        <v>257</v>
      </c>
      <c r="E57" s="367"/>
      <c r="F57" s="368"/>
    </row>
    <row r="58" spans="1:6" x14ac:dyDescent="0.15">
      <c r="A58" s="50"/>
      <c r="B58" s="44"/>
      <c r="D58" s="59"/>
      <c r="E58" s="48"/>
      <c r="F58" s="281"/>
    </row>
  </sheetData>
  <customSheetViews>
    <customSheetView guid="{29BE6789-D580-482F-AE13-9E62D887C1AB}" showPageBreaks="1" printArea="1" view="pageBreakPreview" topLeftCell="A16">
      <selection activeCell="D13" sqref="D13:F13"/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10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25">
    <mergeCell ref="D57:F57"/>
    <mergeCell ref="D25:F25"/>
    <mergeCell ref="D23:F23"/>
    <mergeCell ref="D27:F27"/>
    <mergeCell ref="D29:F29"/>
    <mergeCell ref="D37:F37"/>
    <mergeCell ref="D41:F41"/>
    <mergeCell ref="D55:F55"/>
    <mergeCell ref="D31:F31"/>
    <mergeCell ref="D33:F33"/>
    <mergeCell ref="D39:F39"/>
    <mergeCell ref="D53:F53"/>
    <mergeCell ref="D49:F49"/>
    <mergeCell ref="D47:F47"/>
    <mergeCell ref="D45:F45"/>
    <mergeCell ref="D43:F43"/>
    <mergeCell ref="D51:F51"/>
    <mergeCell ref="A1:F1"/>
    <mergeCell ref="A5:C5"/>
    <mergeCell ref="A21:C21"/>
    <mergeCell ref="D7:F7"/>
    <mergeCell ref="A2:B2"/>
    <mergeCell ref="A3:B3"/>
    <mergeCell ref="A19:B19"/>
    <mergeCell ref="D35:F35"/>
  </mergeCells>
  <phoneticPr fontId="2" type="noConversion"/>
  <printOptions horizontalCentered="1"/>
  <pageMargins left="0.7" right="0.7" top="0.75" bottom="0.75" header="0.3" footer="0.3"/>
  <pageSetup paperSize="9" scale="84" firstPageNumber="10" fitToHeight="2" orientation="portrait" useFirstPageNumber="1" r:id="rId2"/>
  <headerFooter alignWithMargins="0">
    <oddFooter xml:space="preserve">&amp;R참좋은기억학교(2023. 12. 04.)
</oddFooter>
  </headerFooter>
  <rowBreaks count="1" manualBreakCount="1">
    <brk id="1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9</vt:i4>
      </vt:variant>
    </vt:vector>
  </HeadingPairs>
  <TitlesOfParts>
    <vt:vector size="15" baseType="lpstr">
      <vt:lpstr>표지</vt:lpstr>
      <vt:lpstr>예산총칙</vt:lpstr>
      <vt:lpstr>최초예산총괄</vt:lpstr>
      <vt:lpstr>최초예산내역-세입</vt:lpstr>
      <vt:lpstr>최초예산내역-세출</vt:lpstr>
      <vt:lpstr>최초예산 변경사유서</vt:lpstr>
      <vt:lpstr>예산총칙!Print_Area</vt:lpstr>
      <vt:lpstr>'최초예산 변경사유서'!Print_Area</vt:lpstr>
      <vt:lpstr>'최초예산내역-세입'!Print_Area</vt:lpstr>
      <vt:lpstr>'최초예산내역-세출'!Print_Area</vt:lpstr>
      <vt:lpstr>최초예산총괄!Print_Area</vt:lpstr>
      <vt:lpstr>표지!Print_Area</vt:lpstr>
      <vt:lpstr>'최초예산 변경사유서'!Print_Titles</vt:lpstr>
      <vt:lpstr>'최초예산내역-세입'!Print_Titles</vt:lpstr>
      <vt:lpstr>'최초예산내역-세출'!Print_Titles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2023-12-14T05:44:44Z</cp:lastPrinted>
  <dcterms:created xsi:type="dcterms:W3CDTF">2016-12-07T07:13:09Z</dcterms:created>
  <dcterms:modified xsi:type="dcterms:W3CDTF">2023-12-14T06:16:36Z</dcterms:modified>
</cp:coreProperties>
</file>