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. 2023\0. 2023 예산 및 추경\23년\참좋은기억학교) 2023년 3차 추경안\"/>
    </mc:Choice>
  </mc:AlternateContent>
  <xr:revisionPtr revIDLastSave="0" documentId="13_ncr:1_{2985F503-9EA6-459F-9359-FD7EFF8BAEAA}" xr6:coauthVersionLast="45" xr6:coauthVersionMax="47" xr10:uidLastSave="{00000000-0000-0000-0000-000000000000}"/>
  <bookViews>
    <workbookView xWindow="-120" yWindow="-120" windowWidth="29040" windowHeight="15840" firstSheet="2" activeTab="4" xr2:uid="{00000000-000D-0000-FFFF-FFFF00000000}"/>
  </bookViews>
  <sheets>
    <sheet name="표지" sheetId="5" r:id="rId1"/>
    <sheet name="예산총칙" sheetId="1" r:id="rId2"/>
    <sheet name="2차추경예산총괄" sheetId="2" r:id="rId3"/>
    <sheet name="2차추경예산내역-세입" sheetId="8" r:id="rId4"/>
    <sheet name="2차추경예산내역-세출" sheetId="7" r:id="rId5"/>
    <sheet name="2차추경 변경사유서" sheetId="6" r:id="rId6"/>
  </sheets>
  <definedNames>
    <definedName name="_xlnm.Print_Area" localSheetId="5">'2차추경 변경사유서'!$A$1:$F$39</definedName>
    <definedName name="_xlnm.Print_Area" localSheetId="3">'2차추경예산내역-세입'!$A$1:$I$40</definedName>
    <definedName name="_xlnm.Print_Area" localSheetId="4">'2차추경예산내역-세출'!$A$1:$I$148</definedName>
    <definedName name="_xlnm.Print_Area" localSheetId="2">'2차추경예산총괄'!$A$1:$E$24</definedName>
    <definedName name="_xlnm.Print_Area" localSheetId="1">예산총칙!$A$1:$B$18</definedName>
    <definedName name="_xlnm.Print_Area" localSheetId="0">표지!$A$1:$A$12</definedName>
    <definedName name="_xlnm.Print_Titles" localSheetId="5">'2차추경 변경사유서'!$13:$14</definedName>
    <definedName name="_xlnm.Print_Titles" localSheetId="3">'2차추경예산내역-세입'!$3:$5</definedName>
    <definedName name="_xlnm.Print_Titles" localSheetId="4">'2차추경예산내역-세출'!$3:$5</definedName>
    <definedName name="Z_29BE6789_D580_482F_AE13_9E62D887C1AB_.wvu.PrintArea" localSheetId="5" hidden="1">'2차추경 변경사유서'!$A$1:$F$17</definedName>
    <definedName name="Z_29BE6789_D580_482F_AE13_9E62D887C1AB_.wvu.PrintArea" localSheetId="3" hidden="1">'2차추경예산내역-세입'!$A$1:$I$40</definedName>
    <definedName name="Z_29BE6789_D580_482F_AE13_9E62D887C1AB_.wvu.PrintArea" localSheetId="4" hidden="1">'2차추경예산내역-세출'!$A$1:$I$148</definedName>
    <definedName name="Z_29BE6789_D580_482F_AE13_9E62D887C1AB_.wvu.PrintArea" localSheetId="2" hidden="1">'2차추경예산총괄'!$A$1:$E$24</definedName>
    <definedName name="Z_29BE6789_D580_482F_AE13_9E62D887C1AB_.wvu.PrintArea" localSheetId="0" hidden="1">표지!$A$1:$A$12</definedName>
    <definedName name="Z_29BE6789_D580_482F_AE13_9E62D887C1AB_.wvu.PrintTitles" localSheetId="5" hidden="1">'2차추경 변경사유서'!$13:$14</definedName>
    <definedName name="Z_29BE6789_D580_482F_AE13_9E62D887C1AB_.wvu.PrintTitles" localSheetId="3" hidden="1">'2차추경예산내역-세입'!$3:$5</definedName>
    <definedName name="Z_29BE6789_D580_482F_AE13_9E62D887C1AB_.wvu.PrintTitles" localSheetId="4" hidden="1">'2차추경예산내역-세출'!$3:$5</definedName>
  </definedNames>
  <calcPr calcId="191029"/>
  <customWorkbookViews>
    <customWorkbookView name="PC - 사용자 보기" guid="{29BE6789-D580-482F-AE13-9E62D887C1AB}" mergeInterval="0" personalView="1" maximized="1" windowWidth="1596" windowHeight="607" activeSheetId="7"/>
  </customWorkbookViews>
</workbook>
</file>

<file path=xl/calcChain.xml><?xml version="1.0" encoding="utf-8"?>
<calcChain xmlns="http://schemas.openxmlformats.org/spreadsheetml/2006/main">
  <c r="E24" i="6" l="1"/>
  <c r="D24" i="6"/>
  <c r="I9" i="7" l="1"/>
  <c r="D38" i="6" l="1"/>
  <c r="E38" i="6"/>
  <c r="F38" i="6"/>
  <c r="C38" i="6"/>
  <c r="B38" i="6"/>
  <c r="A38" i="6"/>
  <c r="C16" i="2"/>
  <c r="D5" i="6"/>
  <c r="C5" i="2"/>
  <c r="C17" i="2" l="1"/>
  <c r="C18" i="2"/>
  <c r="C19" i="2"/>
  <c r="C20" i="2"/>
  <c r="C21" i="2"/>
  <c r="C22" i="2"/>
  <c r="C23" i="2"/>
  <c r="C24" i="2"/>
  <c r="C7" i="2"/>
  <c r="C8" i="2"/>
  <c r="C9" i="2"/>
  <c r="C10" i="2"/>
  <c r="C11" i="2"/>
  <c r="C6" i="2"/>
  <c r="F8" i="6" l="1"/>
  <c r="D34" i="6"/>
  <c r="E34" i="6"/>
  <c r="F34" i="6"/>
  <c r="C34" i="6"/>
  <c r="B34" i="6"/>
  <c r="A34" i="6"/>
  <c r="D32" i="6"/>
  <c r="E32" i="6"/>
  <c r="F32" i="6"/>
  <c r="C32" i="6"/>
  <c r="B32" i="6"/>
  <c r="A32" i="6"/>
  <c r="D30" i="6"/>
  <c r="E30" i="6"/>
  <c r="F30" i="6"/>
  <c r="C30" i="6"/>
  <c r="B30" i="6"/>
  <c r="A30" i="6"/>
  <c r="D28" i="6"/>
  <c r="E28" i="6"/>
  <c r="F28" i="6"/>
  <c r="C28" i="6"/>
  <c r="B28" i="6"/>
  <c r="A28" i="6"/>
  <c r="D26" i="6"/>
  <c r="E26" i="6"/>
  <c r="F26" i="6"/>
  <c r="C26" i="6"/>
  <c r="B26" i="6"/>
  <c r="A26" i="6"/>
  <c r="F24" i="6"/>
  <c r="C24" i="6"/>
  <c r="A24" i="6"/>
  <c r="B24" i="6"/>
  <c r="D22" i="6"/>
  <c r="E22" i="6"/>
  <c r="F22" i="6"/>
  <c r="C22" i="6"/>
  <c r="B22" i="6"/>
  <c r="A22" i="6"/>
  <c r="D20" i="6"/>
  <c r="E20" i="6"/>
  <c r="F20" i="6"/>
  <c r="C20" i="6"/>
  <c r="B20" i="6"/>
  <c r="A20" i="6"/>
  <c r="D18" i="6"/>
  <c r="C18" i="6"/>
  <c r="A18" i="6"/>
  <c r="B18" i="6"/>
  <c r="D10" i="6"/>
  <c r="E10" i="6"/>
  <c r="F10" i="6"/>
  <c r="C10" i="6"/>
  <c r="E19" i="8"/>
  <c r="E20" i="8"/>
  <c r="E22" i="8"/>
  <c r="I21" i="8"/>
  <c r="F20" i="8"/>
  <c r="B10" i="6"/>
  <c r="A10" i="6"/>
  <c r="C12" i="6"/>
  <c r="D12" i="6"/>
  <c r="D8" i="6"/>
  <c r="C8" i="6"/>
  <c r="B8" i="6"/>
  <c r="A8" i="6"/>
  <c r="I10" i="8"/>
  <c r="I34" i="8"/>
  <c r="I16" i="8"/>
  <c r="I23" i="8"/>
  <c r="I146" i="7"/>
  <c r="I139" i="7"/>
  <c r="I54" i="7"/>
  <c r="I80" i="7"/>
  <c r="I89" i="7" l="1"/>
  <c r="I79" i="7"/>
  <c r="I45" i="7"/>
  <c r="I44" i="7"/>
  <c r="I42" i="7"/>
  <c r="I41" i="7"/>
  <c r="I17" i="7" l="1"/>
  <c r="I18" i="7"/>
  <c r="I39" i="7" l="1"/>
  <c r="E38" i="7" s="1"/>
  <c r="I33" i="7"/>
  <c r="I22" i="7" l="1"/>
  <c r="I24" i="7"/>
  <c r="I21" i="7"/>
  <c r="I37" i="7" l="1"/>
  <c r="I31" i="7"/>
  <c r="I23" i="7" l="1"/>
  <c r="I120" i="7" l="1"/>
  <c r="I90" i="7" l="1"/>
  <c r="I88" i="7"/>
  <c r="I95" i="7"/>
  <c r="I14" i="7"/>
  <c r="I15" i="7"/>
  <c r="I16" i="7"/>
  <c r="I13" i="7"/>
  <c r="D6" i="6" l="1"/>
  <c r="C6" i="6"/>
  <c r="B6" i="6"/>
  <c r="A6" i="6"/>
  <c r="I65" i="7"/>
  <c r="I116" i="7"/>
  <c r="I117" i="7"/>
  <c r="I121" i="7"/>
  <c r="I64" i="7" l="1"/>
  <c r="I131" i="7"/>
  <c r="I122" i="7"/>
  <c r="I118" i="7"/>
  <c r="I148" i="7" l="1"/>
  <c r="I32" i="8"/>
  <c r="E7" i="8" l="1"/>
  <c r="E9" i="8" l="1"/>
  <c r="E6" i="6" s="1"/>
  <c r="F6" i="6" s="1"/>
  <c r="I126" i="7" l="1"/>
  <c r="I35" i="7"/>
  <c r="E29" i="7" s="1"/>
  <c r="I40" i="8" l="1"/>
  <c r="I39" i="8"/>
  <c r="I38" i="8"/>
  <c r="E37" i="8" l="1"/>
  <c r="K138" i="7" l="1"/>
  <c r="K139" i="7"/>
  <c r="I33" i="8"/>
  <c r="I68" i="7"/>
  <c r="I61" i="7"/>
  <c r="I140" i="7"/>
  <c r="I114" i="7"/>
  <c r="I103" i="7"/>
  <c r="I100" i="7"/>
  <c r="I43" i="7"/>
  <c r="E40" i="7" s="1"/>
  <c r="I28" i="7"/>
  <c r="I27" i="7"/>
  <c r="I26" i="7"/>
  <c r="I25" i="7"/>
  <c r="I11" i="7"/>
  <c r="I10" i="7"/>
  <c r="I20" i="7"/>
  <c r="I19" i="7"/>
  <c r="I12" i="7"/>
  <c r="I52" i="7"/>
  <c r="E51" i="7" s="1"/>
  <c r="I104" i="7"/>
  <c r="D6" i="2" l="1"/>
  <c r="F142" i="7"/>
  <c r="I94" i="7" l="1"/>
  <c r="I81" i="7"/>
  <c r="I74" i="7"/>
  <c r="I73" i="7"/>
  <c r="I57" i="7" l="1"/>
  <c r="E53" i="7"/>
  <c r="E50" i="7" s="1"/>
  <c r="I136" i="7" l="1"/>
  <c r="I137" i="7"/>
  <c r="I119" i="7" l="1"/>
  <c r="I17" i="8" l="1"/>
  <c r="I123" i="7"/>
  <c r="I124" i="7"/>
  <c r="I102" i="7"/>
  <c r="E15" i="8" l="1"/>
  <c r="E8" i="6" s="1"/>
  <c r="E130" i="7" l="1"/>
  <c r="I113" i="7"/>
  <c r="I109" i="7"/>
  <c r="I108" i="7"/>
  <c r="I107" i="7"/>
  <c r="I106" i="7"/>
  <c r="I105" i="7"/>
  <c r="I97" i="7"/>
  <c r="I72" i="7"/>
  <c r="E101" i="7" l="1"/>
  <c r="I111" i="7"/>
  <c r="E93" i="7"/>
  <c r="I77" i="7"/>
  <c r="I133" i="7"/>
  <c r="E12" i="8"/>
  <c r="E18" i="8" l="1"/>
  <c r="D8" i="2" s="1"/>
  <c r="D17" i="6" l="1"/>
  <c r="I134" i="7" l="1"/>
  <c r="I76" i="7" l="1"/>
  <c r="E25" i="8"/>
  <c r="E24" i="8" s="1"/>
  <c r="D9" i="2" s="1"/>
  <c r="E31" i="8" l="1"/>
  <c r="E12" i="6" s="1"/>
  <c r="F12" i="6" s="1"/>
  <c r="I30" i="8"/>
  <c r="I135" i="7" l="1"/>
  <c r="E132" i="7" s="1"/>
  <c r="F40" i="7" l="1"/>
  <c r="I49" i="7"/>
  <c r="I48" i="7"/>
  <c r="I47" i="7"/>
  <c r="I63" i="7"/>
  <c r="I62" i="7"/>
  <c r="I60" i="7"/>
  <c r="I59" i="7"/>
  <c r="I67" i="7"/>
  <c r="I71" i="7"/>
  <c r="I70" i="7"/>
  <c r="I86" i="7"/>
  <c r="I85" i="7"/>
  <c r="E87" i="7"/>
  <c r="I125" i="7"/>
  <c r="I142" i="7"/>
  <c r="E141" i="7" s="1"/>
  <c r="E46" i="7" l="1"/>
  <c r="E84" i="7"/>
  <c r="E115" i="7"/>
  <c r="E138" i="7"/>
  <c r="F38" i="7"/>
  <c r="G38" i="7"/>
  <c r="E129" i="7" l="1"/>
  <c r="D23" i="2" s="1"/>
  <c r="E83" i="7"/>
  <c r="E9" i="7"/>
  <c r="E18" i="6" s="1"/>
  <c r="F29" i="7"/>
  <c r="G40" i="7"/>
  <c r="G29" i="7"/>
  <c r="F9" i="7" l="1"/>
  <c r="F18" i="6" s="1"/>
  <c r="E8" i="7"/>
  <c r="D17" i="2" s="1"/>
  <c r="G9" i="7"/>
  <c r="G37" i="8"/>
  <c r="F37" i="8"/>
  <c r="E36" i="8"/>
  <c r="E35" i="8" s="1"/>
  <c r="D11" i="2" s="1"/>
  <c r="E29" i="8"/>
  <c r="F26" i="8"/>
  <c r="F25" i="8"/>
  <c r="F24" i="8"/>
  <c r="F22" i="8"/>
  <c r="F19" i="8"/>
  <c r="F18" i="8"/>
  <c r="F14" i="8"/>
  <c r="F13" i="8"/>
  <c r="E147" i="7"/>
  <c r="E145" i="7"/>
  <c r="I128" i="7"/>
  <c r="E127" i="7" s="1"/>
  <c r="E112" i="7"/>
  <c r="E110" i="7"/>
  <c r="E99" i="7"/>
  <c r="E96" i="7"/>
  <c r="E56" i="7"/>
  <c r="G46" i="7"/>
  <c r="D18" i="2" l="1"/>
  <c r="E98" i="7"/>
  <c r="D22" i="2" s="1"/>
  <c r="E144" i="7"/>
  <c r="E143" i="7" s="1"/>
  <c r="E92" i="7"/>
  <c r="D21" i="2" s="1"/>
  <c r="F101" i="7"/>
  <c r="E58" i="7"/>
  <c r="F112" i="7"/>
  <c r="G112" i="7"/>
  <c r="F110" i="7"/>
  <c r="G110" i="7"/>
  <c r="F84" i="7"/>
  <c r="E66" i="7"/>
  <c r="G36" i="8"/>
  <c r="F115" i="7"/>
  <c r="F46" i="7"/>
  <c r="E69" i="7"/>
  <c r="E78" i="7"/>
  <c r="E75" i="7"/>
  <c r="E28" i="8"/>
  <c r="E27" i="8" s="1"/>
  <c r="D10" i="2" s="1"/>
  <c r="F29" i="8"/>
  <c r="G29" i="8"/>
  <c r="G15" i="8"/>
  <c r="F15" i="8"/>
  <c r="G9" i="8"/>
  <c r="F9" i="8"/>
  <c r="E8" i="8"/>
  <c r="F36" i="8"/>
  <c r="F53" i="7"/>
  <c r="G53" i="7"/>
  <c r="F96" i="7"/>
  <c r="G96" i="7"/>
  <c r="F130" i="7"/>
  <c r="G130" i="7"/>
  <c r="G145" i="7"/>
  <c r="F145" i="7"/>
  <c r="F51" i="7"/>
  <c r="G51" i="7"/>
  <c r="F99" i="7"/>
  <c r="G99" i="7"/>
  <c r="F127" i="7"/>
  <c r="G127" i="7"/>
  <c r="G141" i="7"/>
  <c r="F141" i="7"/>
  <c r="G147" i="7"/>
  <c r="F147" i="7"/>
  <c r="F56" i="7"/>
  <c r="G56" i="7"/>
  <c r="F93" i="7"/>
  <c r="G93" i="7"/>
  <c r="G66" i="7" l="1"/>
  <c r="D24" i="2"/>
  <c r="G58" i="7"/>
  <c r="G35" i="8"/>
  <c r="G87" i="7"/>
  <c r="E82" i="7"/>
  <c r="D20" i="2" s="1"/>
  <c r="E55" i="7"/>
  <c r="F143" i="7"/>
  <c r="G143" i="7"/>
  <c r="F144" i="7"/>
  <c r="F27" i="8"/>
  <c r="G27" i="8"/>
  <c r="F35" i="8"/>
  <c r="F75" i="7"/>
  <c r="F69" i="7"/>
  <c r="F50" i="7"/>
  <c r="E18" i="2"/>
  <c r="G50" i="7"/>
  <c r="G138" i="7"/>
  <c r="E91" i="7"/>
  <c r="F87" i="7"/>
  <c r="G115" i="7"/>
  <c r="G75" i="7"/>
  <c r="F58" i="7"/>
  <c r="F66" i="7"/>
  <c r="G101" i="7"/>
  <c r="F138" i="7"/>
  <c r="G84" i="7"/>
  <c r="G31" i="8"/>
  <c r="F31" i="8"/>
  <c r="G69" i="7"/>
  <c r="G132" i="7"/>
  <c r="F132" i="7"/>
  <c r="F78" i="7"/>
  <c r="G78" i="7"/>
  <c r="F8" i="8"/>
  <c r="G8" i="8"/>
  <c r="E11" i="8"/>
  <c r="D7" i="2" s="1"/>
  <c r="D5" i="2" s="1"/>
  <c r="F12" i="8"/>
  <c r="G12" i="8"/>
  <c r="G28" i="8"/>
  <c r="F28" i="8"/>
  <c r="G144" i="7"/>
  <c r="G92" i="7"/>
  <c r="F92" i="7"/>
  <c r="E7" i="7" l="1"/>
  <c r="G7" i="7" s="1"/>
  <c r="D19" i="2"/>
  <c r="D16" i="2" s="1"/>
  <c r="G83" i="7"/>
  <c r="E6" i="8"/>
  <c r="G129" i="7"/>
  <c r="F129" i="7"/>
  <c r="F83" i="7"/>
  <c r="G98" i="7"/>
  <c r="F98" i="7"/>
  <c r="G91" i="7"/>
  <c r="G8" i="7"/>
  <c r="F8" i="7"/>
  <c r="F55" i="7"/>
  <c r="G55" i="7"/>
  <c r="F7" i="8"/>
  <c r="G7" i="8"/>
  <c r="F11" i="8"/>
  <c r="G11" i="8"/>
  <c r="E5" i="6" l="1"/>
  <c r="E6" i="7"/>
  <c r="F82" i="7"/>
  <c r="G82" i="7"/>
  <c r="F91" i="7"/>
  <c r="F7" i="7"/>
  <c r="F6" i="8"/>
  <c r="G6" i="8"/>
  <c r="E17" i="6" l="1"/>
  <c r="G6" i="7"/>
  <c r="F6" i="7"/>
  <c r="F5" i="6" l="1"/>
  <c r="F17" i="6" l="1"/>
  <c r="E22" i="2"/>
  <c r="E20" i="2"/>
  <c r="E23" i="2" l="1"/>
  <c r="E19" i="2" l="1"/>
  <c r="E21" i="2"/>
  <c r="E24" i="2" l="1"/>
  <c r="E17" i="2"/>
  <c r="E16" i="2"/>
  <c r="E11" i="2"/>
  <c r="E10" i="2"/>
  <c r="E9" i="2"/>
  <c r="E8" i="2"/>
  <c r="E7" i="2"/>
  <c r="E6" i="2"/>
  <c r="E5" i="2" l="1"/>
</calcChain>
</file>

<file path=xl/sharedStrings.xml><?xml version="1.0" encoding="utf-8"?>
<sst xmlns="http://schemas.openxmlformats.org/spreadsheetml/2006/main" count="366" uniqueCount="272">
  <si>
    <t>사회복지법인 무일복지재단</t>
    <phoneticPr fontId="2" type="noConversion"/>
  </si>
  <si>
    <t>세                  입</t>
    <phoneticPr fontId="2" type="noConversion"/>
  </si>
  <si>
    <t>관</t>
    <phoneticPr fontId="2" type="noConversion"/>
  </si>
  <si>
    <t>항</t>
    <phoneticPr fontId="2" type="noConversion"/>
  </si>
  <si>
    <t>증 감(B-A)</t>
    <phoneticPr fontId="2" type="noConversion"/>
  </si>
  <si>
    <t>총        계</t>
    <phoneticPr fontId="2" type="noConversion"/>
  </si>
  <si>
    <t>세                    출</t>
    <phoneticPr fontId="2" type="noConversion"/>
  </si>
  <si>
    <t>관</t>
    <phoneticPr fontId="2" type="noConversion"/>
  </si>
  <si>
    <t>항</t>
    <phoneticPr fontId="2" type="noConversion"/>
  </si>
  <si>
    <t>증 감(B-A)</t>
    <phoneticPr fontId="2" type="noConversion"/>
  </si>
  <si>
    <t>총       계</t>
    <phoneticPr fontId="2" type="noConversion"/>
  </si>
  <si>
    <t xml:space="preserve"> 예  산  총  칙</t>
    <phoneticPr fontId="2" type="noConversion"/>
  </si>
  <si>
    <t xml:space="preserve">                (단위: 원)</t>
    <phoneticPr fontId="2" type="noConversion"/>
  </si>
  <si>
    <t>과목</t>
    <phoneticPr fontId="2" type="noConversion"/>
  </si>
  <si>
    <t>산출근거</t>
    <phoneticPr fontId="2" type="noConversion"/>
  </si>
  <si>
    <t xml:space="preserve">관 </t>
    <phoneticPr fontId="2" type="noConversion"/>
  </si>
  <si>
    <t xml:space="preserve">항 </t>
    <phoneticPr fontId="2" type="noConversion"/>
  </si>
  <si>
    <t>목</t>
    <phoneticPr fontId="2" type="noConversion"/>
  </si>
  <si>
    <t>액수</t>
    <phoneticPr fontId="2" type="noConversion"/>
  </si>
  <si>
    <t>%</t>
    <phoneticPr fontId="2" type="noConversion"/>
  </si>
  <si>
    <t>총계</t>
    <phoneticPr fontId="2" type="noConversion"/>
  </si>
  <si>
    <t xml:space="preserve">이월금 </t>
    <phoneticPr fontId="2" type="noConversion"/>
  </si>
  <si>
    <t xml:space="preserve">전년도이월금 </t>
    <phoneticPr fontId="2" type="noConversion"/>
  </si>
  <si>
    <t>전년도 이월금</t>
    <phoneticPr fontId="2" type="noConversion"/>
  </si>
  <si>
    <t>잡수입</t>
    <phoneticPr fontId="2" type="noConversion"/>
  </si>
  <si>
    <t>사무비</t>
    <phoneticPr fontId="2" type="noConversion"/>
  </si>
  <si>
    <t>인건비</t>
    <phoneticPr fontId="2" type="noConversion"/>
  </si>
  <si>
    <t>재산조성비</t>
    <phoneticPr fontId="2" type="noConversion"/>
  </si>
  <si>
    <t>시설비</t>
    <phoneticPr fontId="2" type="noConversion"/>
  </si>
  <si>
    <t>자산취득비</t>
    <phoneticPr fontId="2" type="noConversion"/>
  </si>
  <si>
    <t>입소자부담금수입</t>
    <phoneticPr fontId="2" type="noConversion"/>
  </si>
  <si>
    <t>입소비용수입</t>
    <phoneticPr fontId="2" type="noConversion"/>
  </si>
  <si>
    <t>보조금수입</t>
    <phoneticPr fontId="2" type="noConversion"/>
  </si>
  <si>
    <t>후원금수입</t>
    <phoneticPr fontId="2" type="noConversion"/>
  </si>
  <si>
    <t>지정후원금</t>
    <phoneticPr fontId="2" type="noConversion"/>
  </si>
  <si>
    <t>비지정후원금</t>
    <phoneticPr fontId="2" type="noConversion"/>
  </si>
  <si>
    <t>기타잡수입</t>
    <phoneticPr fontId="2" type="noConversion"/>
  </si>
  <si>
    <t>전입금</t>
    <phoneticPr fontId="2" type="noConversion"/>
  </si>
  <si>
    <t>경상보조금수입</t>
    <phoneticPr fontId="2" type="noConversion"/>
  </si>
  <si>
    <t>이월금</t>
    <phoneticPr fontId="2" type="noConversion"/>
  </si>
  <si>
    <t>급여</t>
    <phoneticPr fontId="2" type="noConversion"/>
  </si>
  <si>
    <t>급여(기본급)</t>
    <phoneticPr fontId="2" type="noConversion"/>
  </si>
  <si>
    <t>제수당</t>
    <phoneticPr fontId="2" type="noConversion"/>
  </si>
  <si>
    <t>사회보험부담금</t>
    <phoneticPr fontId="2" type="noConversion"/>
  </si>
  <si>
    <t>사회보험부담비용</t>
    <phoneticPr fontId="2" type="noConversion"/>
  </si>
  <si>
    <t>기타후생경비</t>
    <phoneticPr fontId="2" type="noConversion"/>
  </si>
  <si>
    <t>업무추진비</t>
    <phoneticPr fontId="2" type="noConversion"/>
  </si>
  <si>
    <t>기관운영비</t>
    <phoneticPr fontId="2" type="noConversion"/>
  </si>
  <si>
    <t>회의비</t>
    <phoneticPr fontId="2" type="noConversion"/>
  </si>
  <si>
    <t>운영비</t>
    <phoneticPr fontId="2" type="noConversion"/>
  </si>
  <si>
    <t>여비</t>
    <phoneticPr fontId="2" type="noConversion"/>
  </si>
  <si>
    <t>수용비 및 수수료</t>
    <phoneticPr fontId="2" type="noConversion"/>
  </si>
  <si>
    <t>공공요금</t>
    <phoneticPr fontId="2" type="noConversion"/>
  </si>
  <si>
    <t>제세공과금</t>
    <phoneticPr fontId="2" type="noConversion"/>
  </si>
  <si>
    <t>차량비</t>
    <phoneticPr fontId="2" type="noConversion"/>
  </si>
  <si>
    <t>기타운영비</t>
    <phoneticPr fontId="2" type="noConversion"/>
  </si>
  <si>
    <t>사업비</t>
    <phoneticPr fontId="2" type="noConversion"/>
  </si>
  <si>
    <t>생계비</t>
    <phoneticPr fontId="2" type="noConversion"/>
  </si>
  <si>
    <t>수용기관경비</t>
    <phoneticPr fontId="2" type="noConversion"/>
  </si>
  <si>
    <t>기능회복훈련사업비</t>
    <phoneticPr fontId="2" type="noConversion"/>
  </si>
  <si>
    <t>간호 및 처치사업비</t>
    <phoneticPr fontId="2" type="noConversion"/>
  </si>
  <si>
    <t>일반사업비</t>
    <phoneticPr fontId="2" type="noConversion"/>
  </si>
  <si>
    <t>홍보출판사업비</t>
    <phoneticPr fontId="2" type="noConversion"/>
  </si>
  <si>
    <t>직원연수교육비</t>
    <phoneticPr fontId="2" type="noConversion"/>
  </si>
  <si>
    <t>홍보출판비</t>
    <phoneticPr fontId="2" type="noConversion"/>
  </si>
  <si>
    <t>직원연수 및 교육비</t>
    <phoneticPr fontId="2" type="noConversion"/>
  </si>
  <si>
    <t>자원봉사자 및 후원자 관리비</t>
    <phoneticPr fontId="2" type="noConversion"/>
  </si>
  <si>
    <t>기타사업비</t>
    <phoneticPr fontId="2" type="noConversion"/>
  </si>
  <si>
    <t>예비비 및 기타</t>
    <phoneticPr fontId="2" type="noConversion"/>
  </si>
  <si>
    <t>예비비</t>
    <phoneticPr fontId="2" type="noConversion"/>
  </si>
  <si>
    <t>퇴직금 및 퇴직적립금</t>
    <phoneticPr fontId="2" type="noConversion"/>
  </si>
  <si>
    <t>*방범서비스료: 77,000원 x 12회</t>
    <phoneticPr fontId="2" type="noConversion"/>
  </si>
  <si>
    <t>봉사자 및 후원자 관리비</t>
    <phoneticPr fontId="2" type="noConversion"/>
  </si>
  <si>
    <t>참좋은기억학교</t>
    <phoneticPr fontId="2" type="noConversion"/>
  </si>
  <si>
    <t>입소자부담금수입</t>
    <phoneticPr fontId="2" type="noConversion"/>
  </si>
  <si>
    <t>입소비용수입</t>
    <phoneticPr fontId="2" type="noConversion"/>
  </si>
  <si>
    <t>보 조 금 수 입</t>
    <phoneticPr fontId="2" type="noConversion"/>
  </si>
  <si>
    <t>보 조 금 수 입</t>
    <phoneticPr fontId="2" type="noConversion"/>
  </si>
  <si>
    <t>후 원 금 수 입</t>
    <phoneticPr fontId="2" type="noConversion"/>
  </si>
  <si>
    <t>후 원 금 수 입</t>
    <phoneticPr fontId="2" type="noConversion"/>
  </si>
  <si>
    <t>전     입     금</t>
    <phoneticPr fontId="2" type="noConversion"/>
  </si>
  <si>
    <t>잡     수     입</t>
    <phoneticPr fontId="2" type="noConversion"/>
  </si>
  <si>
    <t>이     월     금</t>
    <phoneticPr fontId="2" type="noConversion"/>
  </si>
  <si>
    <t>(단위 : 원)</t>
    <phoneticPr fontId="2" type="noConversion"/>
  </si>
  <si>
    <t>사     무     비</t>
    <phoneticPr fontId="6" type="noConversion"/>
  </si>
  <si>
    <t>인     건     비</t>
    <phoneticPr fontId="6" type="noConversion"/>
  </si>
  <si>
    <t>운     영     비</t>
    <phoneticPr fontId="2" type="noConversion"/>
  </si>
  <si>
    <t>업 무 추 진 비</t>
    <phoneticPr fontId="2" type="noConversion"/>
  </si>
  <si>
    <t>재 산 조 성 비</t>
    <phoneticPr fontId="2" type="noConversion"/>
  </si>
  <si>
    <t>시     설     비</t>
    <phoneticPr fontId="2" type="noConversion"/>
  </si>
  <si>
    <t>사     업     비</t>
    <phoneticPr fontId="2" type="noConversion"/>
  </si>
  <si>
    <t>예비비 및 기타</t>
    <phoneticPr fontId="2" type="noConversion"/>
  </si>
  <si>
    <t>일 반 사 업 비</t>
    <phoneticPr fontId="2" type="noConversion"/>
  </si>
  <si>
    <t>변경예산 총계</t>
    <phoneticPr fontId="2" type="noConversion"/>
  </si>
  <si>
    <t>변경예산 총계</t>
    <phoneticPr fontId="2" type="noConversion"/>
  </si>
  <si>
    <t>증감(B-A)</t>
    <phoneticPr fontId="2" type="noConversion"/>
  </si>
  <si>
    <t>기타예금이자수입</t>
    <phoneticPr fontId="2" type="noConversion"/>
  </si>
  <si>
    <t>6. 보편적으로 발생하는 지출에 있어서는 세출예산에도 불구하고 초과 집행하고 차기 이사회에서</t>
    <phoneticPr fontId="2" type="noConversion"/>
  </si>
  <si>
    <t xml:space="preserve">    있다.</t>
    <phoneticPr fontId="2" type="noConversion"/>
  </si>
  <si>
    <t>시설장비유지비</t>
    <phoneticPr fontId="2" type="noConversion"/>
  </si>
  <si>
    <t>4. 사업수입(본인부담금), 국시비보조금, 후원금 등의 세입이 감소할 경우 기존사업을 축소할 수 있다.</t>
    <phoneticPr fontId="2" type="noConversion"/>
  </si>
  <si>
    <t xml:space="preserve">   추가경정 예산을 승인 받을 수 있다.</t>
    <phoneticPr fontId="2" type="noConversion"/>
  </si>
  <si>
    <t>재활프로그램사업비</t>
    <phoneticPr fontId="2" type="noConversion"/>
  </si>
  <si>
    <t>일상생활지원사업비</t>
    <phoneticPr fontId="2" type="noConversion"/>
  </si>
  <si>
    <t>특별사업지원사업비</t>
    <phoneticPr fontId="2" type="noConversion"/>
  </si>
  <si>
    <t>간호및처치사업비</t>
    <phoneticPr fontId="2" type="noConversion"/>
  </si>
  <si>
    <t>상담사업비</t>
    <phoneticPr fontId="2" type="noConversion"/>
  </si>
  <si>
    <t xml:space="preserve">5. 사업수입(본인부담금),국시비보조금, 후원금등의 세입이 증가 할 경우 세입세출예산을 초과할  </t>
    <phoneticPr fontId="2" type="noConversion"/>
  </si>
  <si>
    <t xml:space="preserve">   수 있다.</t>
    <phoneticPr fontId="2" type="noConversion"/>
  </si>
  <si>
    <t>7. 세출예산에서 초과지출이 발생할 경우에 동일관 내의 목간전용으로 부족한 예산을 집행할 수가</t>
    <phoneticPr fontId="2" type="noConversion"/>
  </si>
  <si>
    <t>*신원보증보험: 50,000원 x 2명</t>
    <phoneticPr fontId="2" type="noConversion"/>
  </si>
  <si>
    <t>*간호처치 및 관리: 150,000원 x 4회</t>
    <phoneticPr fontId="2" type="noConversion"/>
  </si>
  <si>
    <t>*기타수용비 및 인쇄비: 300,000원 x 4회</t>
    <phoneticPr fontId="2" type="noConversion"/>
  </si>
  <si>
    <t>전년도이월금</t>
    <phoneticPr fontId="2" type="noConversion"/>
  </si>
  <si>
    <t>시군구보조금수입</t>
    <phoneticPr fontId="2" type="noConversion"/>
  </si>
  <si>
    <t>국고보조금수입</t>
    <phoneticPr fontId="2" type="noConversion"/>
  </si>
  <si>
    <t>국고보조금</t>
    <phoneticPr fontId="2" type="noConversion"/>
  </si>
  <si>
    <t>시도보조금</t>
    <phoneticPr fontId="2" type="noConversion"/>
  </si>
  <si>
    <t>시군구보조금</t>
    <phoneticPr fontId="2" type="noConversion"/>
  </si>
  <si>
    <t>*인터넷 사용료 및 전화료: 70,000원 x 12월</t>
    <phoneticPr fontId="2" type="noConversion"/>
  </si>
  <si>
    <t>*시설건물관리비: 500,000원 x 12회</t>
    <phoneticPr fontId="2" type="noConversion"/>
  </si>
  <si>
    <t>반환금</t>
    <phoneticPr fontId="2" type="noConversion"/>
  </si>
  <si>
    <t>■ 사업장명 : 참좋은기억학교</t>
  </si>
  <si>
    <t>○ 세입의 주요내용</t>
    <phoneticPr fontId="2" type="noConversion"/>
  </si>
  <si>
    <t xml:space="preserve">  (단위: 원)</t>
    <phoneticPr fontId="2" type="noConversion"/>
  </si>
  <si>
    <t xml:space="preserve">○ 세출의 주요내용 </t>
    <phoneticPr fontId="2" type="noConversion"/>
  </si>
  <si>
    <t>■ 사업장명 : 참좋은기억학교</t>
    <phoneticPr fontId="2" type="noConversion"/>
  </si>
  <si>
    <t>3. 본 예산은 사회복지법인 재무회계규칙 제 2장 예산과 결산에 의거 편성하며 집행한다.</t>
    <phoneticPr fontId="2" type="noConversion"/>
  </si>
  <si>
    <t>*직원 복지포인트: 1,850,000원 x 1회</t>
    <phoneticPr fontId="2" type="noConversion"/>
  </si>
  <si>
    <t>*직원 단체상해보험: 90,000원 x 1회</t>
    <phoneticPr fontId="2" type="noConversion"/>
  </si>
  <si>
    <t>*기타 복리후생경비: 200,000원 x 2회</t>
    <phoneticPr fontId="2" type="noConversion"/>
  </si>
  <si>
    <t>*기타사업 및 교구구입비: 100,000원 x 2회</t>
    <phoneticPr fontId="2" type="noConversion"/>
  </si>
  <si>
    <t>*기억학교협회 감사의 날: 600,000원 x 1회</t>
    <phoneticPr fontId="2" type="noConversion"/>
  </si>
  <si>
    <t>*송영차량구입 월할부금(쉐보레 스파크): 238,333원 x 12회</t>
    <phoneticPr fontId="2" type="noConversion"/>
  </si>
  <si>
    <t>*사무용품 및 집기구입: 340,600원 x 8회</t>
    <phoneticPr fontId="2" type="noConversion"/>
  </si>
  <si>
    <t>*복사기/복합기임차료: 204,600원 x 12월</t>
    <phoneticPr fontId="2" type="noConversion"/>
  </si>
  <si>
    <t>*기타예금이자수입: 15,050원 * 2회</t>
    <phoneticPr fontId="2" type="noConversion"/>
  </si>
  <si>
    <t xml:space="preserve"> </t>
    <phoneticPr fontId="2" type="noConversion"/>
  </si>
  <si>
    <t>*사무기기(데스크탑 등) 렌탈이용료: 204,600원 x 12회</t>
    <phoneticPr fontId="2" type="noConversion"/>
  </si>
  <si>
    <t>*사회복지사 보수교육: 28,000원 x 6명</t>
    <phoneticPr fontId="2" type="noConversion"/>
  </si>
  <si>
    <t>법인전입금(후원금)</t>
    <phoneticPr fontId="2" type="noConversion"/>
  </si>
  <si>
    <t>*자동차세 外: 80,000원 x 3대</t>
    <phoneticPr fontId="2" type="noConversion"/>
  </si>
  <si>
    <t>*유류대: 600,000원 x 12월(송영차량 3대)</t>
    <phoneticPr fontId="2" type="noConversion"/>
  </si>
  <si>
    <t>*노후비품 교체 자산취득비: 250,000원 x 2회</t>
  </si>
  <si>
    <t>법인전입금</t>
    <phoneticPr fontId="2" type="noConversion"/>
  </si>
  <si>
    <t>자격수당 : 100,000원 x 6회 x 3명</t>
    <phoneticPr fontId="2" type="noConversion"/>
  </si>
  <si>
    <t>*직원연수: 500,000원 x 2회</t>
    <phoneticPr fontId="2" type="noConversion"/>
  </si>
  <si>
    <t xml:space="preserve">*차량관리비 및 수리비 : 200,000원 x 3대 x 4회 </t>
    <phoneticPr fontId="2" type="noConversion"/>
  </si>
  <si>
    <t>*치매예방체조 外: 50,000원 x 4회</t>
    <phoneticPr fontId="2" type="noConversion"/>
  </si>
  <si>
    <t xml:space="preserve">2023년 참좋은기억학교 </t>
    <phoneticPr fontId="2" type="noConversion"/>
  </si>
  <si>
    <t>*영업배상책임보험 外: 500,000원 x 2회</t>
    <phoneticPr fontId="2" type="noConversion"/>
  </si>
  <si>
    <t>*기타세금 및 각종 협회비: 300,000원 x 6회</t>
    <phoneticPr fontId="2" type="noConversion"/>
  </si>
  <si>
    <t>*수용기관경비: 100,000원 x 2회</t>
    <phoneticPr fontId="2" type="noConversion"/>
  </si>
  <si>
    <t>*놀이교실: 50,000원 x 2회</t>
  </si>
  <si>
    <t>*음악교실: 100,000원 x 2회</t>
  </si>
  <si>
    <t>*문학교실: 20,000원 x 3회</t>
  </si>
  <si>
    <t>*기타 복지프로그램: 50,000원 x 4회</t>
  </si>
  <si>
    <t>*클레이교실: 50,000원 x 12회</t>
    <phoneticPr fontId="2" type="noConversion"/>
  </si>
  <si>
    <t>*뷰티교실: 50,000원 x 4회</t>
    <phoneticPr fontId="2" type="noConversion"/>
  </si>
  <si>
    <t>*미술교실: 50,000원 x 12회</t>
    <phoneticPr fontId="2" type="noConversion"/>
  </si>
  <si>
    <t>*간호조무사(연봉제): 2,065,000원 x 12월 x 1명</t>
    <phoneticPr fontId="2" type="noConversion"/>
  </si>
  <si>
    <t>*조리사(연봉제):1,570,000원 x 12월 x 1명</t>
    <phoneticPr fontId="2" type="noConversion"/>
  </si>
  <si>
    <t>*과학교실: 25,000원 x 4회</t>
    <phoneticPr fontId="2" type="noConversion"/>
  </si>
  <si>
    <t>*원예교실: 75,000원 x 12회</t>
    <phoneticPr fontId="2" type="noConversion"/>
  </si>
  <si>
    <t>*다도교실: 60,000원  x 12회</t>
    <phoneticPr fontId="2" type="noConversion"/>
  </si>
  <si>
    <t>*복날행사: 200,000원 x1 회</t>
    <phoneticPr fontId="2" type="noConversion"/>
  </si>
  <si>
    <t>*동지행사: 100,000원 x 1회</t>
    <phoneticPr fontId="2" type="noConversion"/>
  </si>
  <si>
    <t>*시군구보조금(관리운영비): 5,500,000원 x 4분기</t>
    <phoneticPr fontId="2" type="noConversion"/>
  </si>
  <si>
    <t xml:space="preserve">시간외수당(월 5시간 x 7명 x 12월) </t>
    <phoneticPr fontId="2" type="noConversion"/>
  </si>
  <si>
    <t>시도보조금수입</t>
    <phoneticPr fontId="2" type="noConversion"/>
  </si>
  <si>
    <t>*나들이행사(소규모): 150,000 x 4회</t>
    <phoneticPr fontId="2" type="noConversion"/>
  </si>
  <si>
    <t>*생계비: 2,400원 x 40명 x 248일</t>
    <phoneticPr fontId="2" type="noConversion"/>
  </si>
  <si>
    <t>*기타 교육 등: 30,000원 x 4회</t>
    <phoneticPr fontId="2" type="noConversion"/>
  </si>
  <si>
    <t>*기억학교 종사자 워크샵 참가비: 500,000원 x 1회</t>
    <phoneticPr fontId="2" type="noConversion"/>
  </si>
  <si>
    <t>*기타잡수입(사회복지실습 外): 150,000원 x 12회</t>
    <phoneticPr fontId="2" type="noConversion"/>
  </si>
  <si>
    <t>*여비: 100,000원 x 4회</t>
    <phoneticPr fontId="2" type="noConversion"/>
  </si>
  <si>
    <t>*차량보험료: 1,000,000원 x 3대</t>
    <phoneticPr fontId="2" type="noConversion"/>
  </si>
  <si>
    <t>*기타운영비: 55,000원 x 2회</t>
    <phoneticPr fontId="2" type="noConversion"/>
  </si>
  <si>
    <t>*기관운영비: 210,000원 x 4분기</t>
    <phoneticPr fontId="2" type="noConversion"/>
  </si>
  <si>
    <t>*시설장(15호봉): 3,581,900원 x 1월 x 1명</t>
    <phoneticPr fontId="2" type="noConversion"/>
  </si>
  <si>
    <t>*시설장(16호봉): 3,655,700원 x 11월 x 1명</t>
    <phoneticPr fontId="2" type="noConversion"/>
  </si>
  <si>
    <t>*선임사회복지사1(9호봉): 2,770,100원 x 1월 x 1명</t>
    <phoneticPr fontId="2" type="noConversion"/>
  </si>
  <si>
    <t>*사무원(2호봉): 2,091,800원 x 8월 x 1명</t>
    <phoneticPr fontId="2" type="noConversion"/>
  </si>
  <si>
    <t>*사무원(3호봉): 2,127,100원 x 4월 x 1명</t>
    <phoneticPr fontId="2" type="noConversion"/>
  </si>
  <si>
    <t>*보호자 자조모임(상,하반기): 500,000원 x 2회</t>
    <phoneticPr fontId="2" type="noConversion"/>
  </si>
  <si>
    <t>*자원봉사자 관리비: 200,000원 x 4회</t>
    <phoneticPr fontId="2" type="noConversion"/>
  </si>
  <si>
    <t>*전기,도시가스,상하수도 등: 500,000원 x 12월</t>
    <phoneticPr fontId="2" type="noConversion"/>
  </si>
  <si>
    <t>*사회복지사4(2호봉): 2,112,400원 x 2월 x 1명</t>
    <phoneticPr fontId="2" type="noConversion"/>
  </si>
  <si>
    <t>*사회복지사4(3호봉): 2,151,100원 x 10월 x 1명</t>
    <phoneticPr fontId="2" type="noConversion"/>
  </si>
  <si>
    <t>*전년도이월금(사업수입): 12,629,613원 x 1회</t>
    <phoneticPr fontId="2" type="noConversion"/>
  </si>
  <si>
    <t>*전년도이월금(후원금): 884,739원 x 1회</t>
    <phoneticPr fontId="2" type="noConversion"/>
  </si>
  <si>
    <t>*전년도이월금(잡수입): 350,011 x 1회</t>
    <phoneticPr fontId="2" type="noConversion"/>
  </si>
  <si>
    <t>*시간외수당 : 6,972,150원</t>
    <phoneticPr fontId="2" type="noConversion"/>
  </si>
  <si>
    <t>,</t>
    <phoneticPr fontId="2" type="noConversion"/>
  </si>
  <si>
    <t>*간호조무사 보수교육: 35,000원 x 1명</t>
    <phoneticPr fontId="2" type="noConversion"/>
  </si>
  <si>
    <t>*반환금(보조금예금이자수입): 20,000원 x 1회</t>
    <phoneticPr fontId="2" type="noConversion"/>
  </si>
  <si>
    <t>*잡수입(직원식대): 500,000원 x 12월</t>
    <phoneticPr fontId="2" type="noConversion"/>
  </si>
  <si>
    <t>*나들이행사(봄/가을): 600,000원 x 2회</t>
    <phoneticPr fontId="2" type="noConversion"/>
  </si>
  <si>
    <t>*어버이날행사: 10,000원 x 40명 x 1회</t>
    <phoneticPr fontId="2" type="noConversion"/>
  </si>
  <si>
    <t>*홍보출판비: 1,300,000원 x 4회</t>
    <phoneticPr fontId="2" type="noConversion"/>
  </si>
  <si>
    <t>*정월대보름: 10,000원 x 1회</t>
    <phoneticPr fontId="2" type="noConversion"/>
  </si>
  <si>
    <t>*생신선물 구입: 200,000 x 1회</t>
    <phoneticPr fontId="2" type="noConversion"/>
  </si>
  <si>
    <t>*비지정후원금 : 100,000원 * 9회</t>
    <phoneticPr fontId="2" type="noConversion"/>
  </si>
  <si>
    <t>*생신잔치: 35,000원 x 12회</t>
    <phoneticPr fontId="2" type="noConversion"/>
  </si>
  <si>
    <t>*어르신 총원 증가에 따른 입소비용수입 증액 조정</t>
    <phoneticPr fontId="2" type="noConversion"/>
  </si>
  <si>
    <t>*이용어르신 의자 등 집기구입: 3,200,000원 x 1회</t>
    <phoneticPr fontId="2" type="noConversion"/>
  </si>
  <si>
    <t>*선임사회복지사1(10호봉): 2,861,500원 x 7월 x 1명</t>
    <phoneticPr fontId="2" type="noConversion"/>
  </si>
  <si>
    <t>*사회복지사2(8호봉): 2,505,300원 x 8월 x 1명</t>
    <phoneticPr fontId="2" type="noConversion"/>
  </si>
  <si>
    <t>*선임사회복지사2(9호봉): 2,770,100원 x 3월 x 1명</t>
    <phoneticPr fontId="2" type="noConversion"/>
  </si>
  <si>
    <t>*선임사회복지사2(8호봉): 2,671,000원 x 1월 x 1명</t>
    <phoneticPr fontId="2" type="noConversion"/>
  </si>
  <si>
    <t>*김장비용 : 2,500,000원 x 1회</t>
    <phoneticPr fontId="2" type="noConversion"/>
  </si>
  <si>
    <t>*냉난방기 유지관리비 外: 100,000원 x 1회</t>
    <phoneticPr fontId="2" type="noConversion"/>
  </si>
  <si>
    <t>*기타 시설장비유지비 : 100,000원 x 1회</t>
    <phoneticPr fontId="2" type="noConversion"/>
  </si>
  <si>
    <t>1. 참좋은기억학교의 2023년 3차 추경세입,세출 예산은 다음과 같다.</t>
    <phoneticPr fontId="2" type="noConversion"/>
  </si>
  <si>
    <t>2023년 참좋은기억학교 3차 추경 예산 총괄내역서</t>
    <phoneticPr fontId="2" type="noConversion"/>
  </si>
  <si>
    <t>2023년 2차 추경
(A)</t>
    <phoneticPr fontId="2" type="noConversion"/>
  </si>
  <si>
    <t>2023년 3차 추경
(B)</t>
    <phoneticPr fontId="2" type="noConversion"/>
  </si>
  <si>
    <t>1) 2023년 참좋은기억학교 3차 추경 세입 예산 내역</t>
    <phoneticPr fontId="2" type="noConversion"/>
  </si>
  <si>
    <t>2) 2023년 참좋은기억학교 3차 추경 세출 예산 내역</t>
    <phoneticPr fontId="2" type="noConversion"/>
  </si>
  <si>
    <t>2023년 참좋은기억학교 3차 추경 예산 증감사항 및 주요내용</t>
    <phoneticPr fontId="2" type="noConversion"/>
  </si>
  <si>
    <t>2023년
2차 추경(A)</t>
    <phoneticPr fontId="2" type="noConversion"/>
  </si>
  <si>
    <t>2023년
3차 추경(B)</t>
    <phoneticPr fontId="2" type="noConversion"/>
  </si>
  <si>
    <t>2023년
2차 추경
(A)</t>
    <phoneticPr fontId="2" type="noConversion"/>
  </si>
  <si>
    <t>2023년
3차 추경
(B)</t>
    <phoneticPr fontId="2" type="noConversion"/>
  </si>
  <si>
    <t>3차 추경 세입.세출 예산(안)</t>
    <phoneticPr fontId="2" type="noConversion"/>
  </si>
  <si>
    <t>*노래자랑행사: 300,000원 x 2회</t>
    <phoneticPr fontId="2" type="noConversion"/>
  </si>
  <si>
    <t>*설,추석행사: 11,000 x 40명 x 2회</t>
    <phoneticPr fontId="2" type="noConversion"/>
  </si>
  <si>
    <t>*사회복지사6(6호봉): 2,323,300원 x 3월 x 1명</t>
    <phoneticPr fontId="2" type="noConversion"/>
  </si>
  <si>
    <t>*사회복지사6(5호봉): 2,265,300원 x 1월 x 1명</t>
    <phoneticPr fontId="2" type="noConversion"/>
  </si>
  <si>
    <t>*자격수당 : 1,500,000원</t>
    <phoneticPr fontId="2" type="noConversion"/>
  </si>
  <si>
    <t>*명절상여금 : 24,381,550원</t>
    <phoneticPr fontId="2" type="noConversion"/>
  </si>
  <si>
    <t>명절상여금 : 12,190,775원 x 2회</t>
    <phoneticPr fontId="2" type="noConversion"/>
  </si>
  <si>
    <t>*사회복지사5(6호봉): 2,323,300원 x 11월 x 1명</t>
    <phoneticPr fontId="2" type="noConversion"/>
  </si>
  <si>
    <t>*가족수당 : 3,260,000원</t>
    <phoneticPr fontId="2" type="noConversion"/>
  </si>
  <si>
    <t>가족수당 : 815,000원 x 4분기</t>
    <phoneticPr fontId="2" type="noConversion"/>
  </si>
  <si>
    <t>2023. 9. 7.</t>
    <phoneticPr fontId="2" type="noConversion"/>
  </si>
  <si>
    <t>*사회복지사3(4호봉): 2,206,900원 x 2월 x 1명</t>
    <phoneticPr fontId="2" type="noConversion"/>
  </si>
  <si>
    <t>*사회복지사3(3호봉): 2,151,100원 x 10월 x 1명</t>
    <phoneticPr fontId="2" type="noConversion"/>
  </si>
  <si>
    <t>*국민연금: 291,757,500원 x 4.5%</t>
    <phoneticPr fontId="2" type="noConversion"/>
  </si>
  <si>
    <t>*퇴직적립금: 291,757,500원 / 12회</t>
    <phoneticPr fontId="2" type="noConversion"/>
  </si>
  <si>
    <t>*건강보험: 291,757,500원 x 3.545%</t>
    <phoneticPr fontId="2" type="noConversion"/>
  </si>
  <si>
    <t>*산재보험: 247,962,900원 x 0.76%</t>
    <phoneticPr fontId="2" type="noConversion"/>
  </si>
  <si>
    <t>*고용보험: 247,962,900원 x 1.25%</t>
    <phoneticPr fontId="2" type="noConversion"/>
  </si>
  <si>
    <t>*장기요양보험: 10,342,803원 x 12.81%</t>
    <phoneticPr fontId="2" type="noConversion"/>
  </si>
  <si>
    <t>*직원식대비: 500,000원 x 12월</t>
    <phoneticPr fontId="2" type="noConversion"/>
  </si>
  <si>
    <t>*주방 닥트청소 및 유지관리비 : 1,500,000원 x 1회</t>
    <phoneticPr fontId="2" type="noConversion"/>
  </si>
  <si>
    <t>*직원상용피복비: 100,000원 x 9명</t>
    <phoneticPr fontId="2" type="noConversion"/>
  </si>
  <si>
    <t>*회의비(직원회의, 운영위원회 등): 200,000원 x 4분기</t>
    <phoneticPr fontId="2" type="noConversion"/>
  </si>
  <si>
    <t>*명절선물 및 포상 등: 300,000원 x 2회</t>
    <phoneticPr fontId="2" type="noConversion"/>
  </si>
  <si>
    <t>*예비비: 27,622원 x 1회</t>
    <phoneticPr fontId="2" type="noConversion"/>
  </si>
  <si>
    <t>*지정후원금 : 450,000원 * 1회</t>
    <phoneticPr fontId="2" type="noConversion"/>
  </si>
  <si>
    <t>*시군구보조금(인건비): 87,045,545원 x 4분기</t>
    <phoneticPr fontId="2" type="noConversion"/>
  </si>
  <si>
    <t>*실비수입(일1만원): 10,000원 x 22.5명 x 248일</t>
    <phoneticPr fontId="2" type="noConversion"/>
  </si>
  <si>
    <t>*기타잡수입: 73,355원 x 1회</t>
    <phoneticPr fontId="2" type="noConversion"/>
  </si>
  <si>
    <r>
      <t xml:space="preserve">2. 세입.세출 예산 총액은 </t>
    </r>
    <r>
      <rPr>
        <b/>
        <u/>
        <sz val="12"/>
        <rFont val="굴림"/>
        <family val="3"/>
        <charset val="129"/>
      </rPr>
      <t>449,100,000원</t>
    </r>
    <r>
      <rPr>
        <sz val="12"/>
        <rFont val="굴림"/>
        <family val="3"/>
        <charset val="129"/>
      </rPr>
      <t>으로한다.</t>
    </r>
    <phoneticPr fontId="2" type="noConversion"/>
  </si>
  <si>
    <t>*기타 잡수입 증액 조정</t>
    <phoneticPr fontId="2" type="noConversion"/>
  </si>
  <si>
    <t>*사업 선정에 따른 지정후원금 수입 증액 조정</t>
    <phoneticPr fontId="2" type="noConversion"/>
  </si>
  <si>
    <t>*종사자 인사이동 및 입퇴사에 따른 보조금 수입 증액 조정</t>
    <phoneticPr fontId="2" type="noConversion"/>
  </si>
  <si>
    <t>*종사자 인사이동 및 입퇴사에 따른 급여 감액 조정</t>
    <phoneticPr fontId="2" type="noConversion"/>
  </si>
  <si>
    <t>*간호인력, 조리원 수당 지급기준 변경에 따른 제수당 증액 조정</t>
    <phoneticPr fontId="2" type="noConversion"/>
  </si>
  <si>
    <t>*종사자 인사이동 및 입퇴사에 따른 퇴직적립금 증액 조정</t>
    <phoneticPr fontId="2" type="noConversion"/>
  </si>
  <si>
    <t>*종사자 인사이동 및 입퇴사에 따른 사회보험부담금 증액 조정</t>
    <phoneticPr fontId="2" type="noConversion"/>
  </si>
  <si>
    <t>*물가 인상으로 인한 회의비 증액 조정</t>
    <phoneticPr fontId="2" type="noConversion"/>
  </si>
  <si>
    <t>*물가 인상으로 인한 생계비 증액 조정</t>
    <phoneticPr fontId="2" type="noConversion"/>
  </si>
  <si>
    <t>*물가 인상으로 인한 특별지원사업비 증액 조정</t>
    <phoneticPr fontId="2" type="noConversion"/>
  </si>
  <si>
    <t>*직원 식대비 조정 및 피복비 구매에 따른 기타운영비 증액 조정</t>
    <phoneticPr fontId="2" type="noConversion"/>
  </si>
  <si>
    <t>*조리실 위생관리를 위한 시설장비유지비 증액 조정</t>
    <phoneticPr fontId="2" type="noConversion"/>
  </si>
  <si>
    <t>*봉사자 증가로 인한 봉사자 및 후원자 관리비 증액 조정</t>
    <phoneticPr fontId="2" type="noConversion"/>
  </si>
  <si>
    <t>사업비</t>
  </si>
  <si>
    <t>봉사자 및 후원자 관리비</t>
  </si>
  <si>
    <t>*예비비 조정</t>
    <phoneticPr fontId="2" type="noConversion"/>
  </si>
  <si>
    <t>*사회복지사5(7호봉): 2,410,000원 x 1월 x 1명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</si>
</sst>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24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굴림"/>
      <family val="3"/>
      <charset val="129"/>
    </font>
    <font>
      <b/>
      <sz val="20"/>
      <name val="굴림"/>
      <family val="3"/>
      <charset val="129"/>
    </font>
    <font>
      <b/>
      <sz val="8"/>
      <name val="굴림"/>
      <family val="3"/>
      <charset val="129"/>
    </font>
    <font>
      <sz val="8"/>
      <name val="맑은 고딕"/>
      <family val="3"/>
      <charset val="129"/>
    </font>
    <font>
      <sz val="9"/>
      <name val="돋움"/>
      <family val="3"/>
      <charset val="129"/>
    </font>
    <font>
      <sz val="20"/>
      <name val="굴림"/>
      <family val="3"/>
      <charset val="129"/>
    </font>
    <font>
      <b/>
      <sz val="9"/>
      <name val="굴림"/>
      <family val="3"/>
      <charset val="129"/>
    </font>
    <font>
      <sz val="9"/>
      <name val="굴림"/>
      <family val="3"/>
      <charset val="129"/>
    </font>
    <font>
      <b/>
      <sz val="16"/>
      <name val="굴림"/>
      <family val="3"/>
      <charset val="129"/>
    </font>
    <font>
      <b/>
      <sz val="25"/>
      <name val="굴림"/>
      <family val="3"/>
      <charset val="129"/>
    </font>
    <font>
      <sz val="12"/>
      <name val="굴림"/>
      <family val="3"/>
      <charset val="129"/>
    </font>
    <font>
      <b/>
      <u/>
      <sz val="12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0"/>
      <name val="굴림"/>
      <family val="3"/>
      <charset val="129"/>
    </font>
    <font>
      <b/>
      <sz val="12"/>
      <name val="굴림"/>
      <family val="3"/>
      <charset val="129"/>
    </font>
    <font>
      <sz val="12"/>
      <color theme="1"/>
      <name val="굴림"/>
      <family val="3"/>
      <charset val="129"/>
    </font>
    <font>
      <sz val="11"/>
      <color theme="1"/>
      <name val="굴림"/>
      <family val="3"/>
      <charset val="129"/>
    </font>
    <font>
      <b/>
      <sz val="9"/>
      <color rgb="FF000000"/>
      <name val="굴림"/>
      <family val="3"/>
      <charset val="129"/>
    </font>
    <font>
      <sz val="9"/>
      <color rgb="FF000000"/>
      <name val="굴림"/>
      <family val="3"/>
      <charset val="129"/>
    </font>
    <font>
      <sz val="9"/>
      <color theme="1"/>
      <name val="굴림"/>
      <family val="3"/>
      <charset val="129"/>
    </font>
    <font>
      <b/>
      <sz val="9"/>
      <color theme="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8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343">
    <xf numFmtId="0" fontId="0" fillId="0" borderId="0" xfId="0">
      <alignment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/>
    </xf>
    <xf numFmtId="41" fontId="2" fillId="0" borderId="0" xfId="2" applyNumberFormat="1" applyFont="1">
      <alignment vertical="center"/>
    </xf>
    <xf numFmtId="0" fontId="2" fillId="0" borderId="0" xfId="2" applyFont="1">
      <alignment vertical="center"/>
    </xf>
    <xf numFmtId="0" fontId="8" fillId="0" borderId="0" xfId="0" applyFont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3" fontId="9" fillId="0" borderId="10" xfId="0" applyNumberFormat="1" applyFont="1" applyBorder="1">
      <alignment vertical="center"/>
    </xf>
    <xf numFmtId="3" fontId="9" fillId="0" borderId="11" xfId="0" applyNumberFormat="1" applyFont="1" applyBorder="1" applyAlignment="1">
      <alignment horizontal="right" vertical="center"/>
    </xf>
    <xf numFmtId="0" fontId="10" fillId="0" borderId="13" xfId="0" applyFont="1" applyBorder="1" applyAlignment="1">
      <alignment horizontal="center" vertical="center"/>
    </xf>
    <xf numFmtId="3" fontId="10" fillId="0" borderId="14" xfId="0" applyNumberFormat="1" applyFont="1" applyBorder="1">
      <alignment vertical="center"/>
    </xf>
    <xf numFmtId="3" fontId="10" fillId="0" borderId="15" xfId="0" applyNumberFormat="1" applyFont="1" applyBorder="1" applyAlignment="1">
      <alignment horizontal="right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3" fontId="10" fillId="0" borderId="21" xfId="0" applyNumberFormat="1" applyFont="1" applyBorder="1">
      <alignment vertical="center"/>
    </xf>
    <xf numFmtId="3" fontId="10" fillId="0" borderId="22" xfId="0" applyNumberFormat="1" applyFont="1" applyBorder="1" applyAlignment="1">
      <alignment horizontal="right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3" fontId="10" fillId="0" borderId="25" xfId="0" applyNumberFormat="1" applyFont="1" applyBorder="1">
      <alignment vertical="center"/>
    </xf>
    <xf numFmtId="3" fontId="10" fillId="0" borderId="26" xfId="0" applyNumberFormat="1" applyFont="1" applyBorder="1" applyAlignment="1">
      <alignment horizontal="right" vertical="center"/>
    </xf>
    <xf numFmtId="0" fontId="10" fillId="0" borderId="2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3" fontId="9" fillId="0" borderId="11" xfId="0" applyNumberFormat="1" applyFont="1" applyBorder="1">
      <alignment vertical="center"/>
    </xf>
    <xf numFmtId="0" fontId="10" fillId="0" borderId="28" xfId="0" applyFont="1" applyBorder="1" applyAlignment="1">
      <alignment horizontal="center" vertical="center"/>
    </xf>
    <xf numFmtId="3" fontId="10" fillId="0" borderId="29" xfId="0" applyNumberFormat="1" applyFont="1" applyBorder="1">
      <alignment vertical="center"/>
    </xf>
    <xf numFmtId="3" fontId="10" fillId="0" borderId="20" xfId="0" applyNumberFormat="1" applyFont="1" applyBorder="1">
      <alignment vertical="center"/>
    </xf>
    <xf numFmtId="0" fontId="7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3" fontId="10" fillId="0" borderId="26" xfId="0" applyNumberFormat="1" applyFont="1" applyBorder="1">
      <alignment vertical="center"/>
    </xf>
    <xf numFmtId="0" fontId="3" fillId="0" borderId="0" xfId="0" applyFont="1">
      <alignment vertical="center"/>
    </xf>
    <xf numFmtId="0" fontId="10" fillId="0" borderId="38" xfId="0" applyFont="1" applyBorder="1" applyAlignment="1">
      <alignment horizontal="left" vertical="center"/>
    </xf>
    <xf numFmtId="0" fontId="12" fillId="0" borderId="0" xfId="0" applyFont="1" applyAlignment="1">
      <alignment horizontal="center" vertical="top"/>
    </xf>
    <xf numFmtId="0" fontId="1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3" fillId="0" borderId="0" xfId="0" applyFont="1">
      <alignment vertical="center"/>
    </xf>
    <xf numFmtId="0" fontId="13" fillId="0" borderId="0" xfId="0" applyFont="1" applyAlignment="1">
      <alignment vertical="center" wrapText="1"/>
    </xf>
    <xf numFmtId="0" fontId="11" fillId="0" borderId="0" xfId="0" applyFont="1" applyAlignment="1">
      <alignment horizontal="center"/>
    </xf>
    <xf numFmtId="3" fontId="10" fillId="0" borderId="30" xfId="0" applyNumberFormat="1" applyFont="1" applyBorder="1">
      <alignment vertical="center"/>
    </xf>
    <xf numFmtId="3" fontId="10" fillId="0" borderId="15" xfId="0" applyNumberFormat="1" applyFont="1" applyBorder="1">
      <alignment vertical="center"/>
    </xf>
    <xf numFmtId="0" fontId="3" fillId="0" borderId="0" xfId="2" applyFont="1">
      <alignment vertical="center"/>
    </xf>
    <xf numFmtId="0" fontId="10" fillId="0" borderId="0" xfId="2" applyFont="1" applyAlignment="1">
      <alignment horizontal="left" vertical="center"/>
    </xf>
    <xf numFmtId="0" fontId="10" fillId="0" borderId="38" xfId="2" applyFont="1" applyBorder="1">
      <alignment vertical="center"/>
    </xf>
    <xf numFmtId="0" fontId="10" fillId="0" borderId="37" xfId="2" applyFont="1" applyBorder="1">
      <alignment vertical="center"/>
    </xf>
    <xf numFmtId="0" fontId="10" fillId="0" borderId="0" xfId="2" applyFont="1">
      <alignment vertical="center"/>
    </xf>
    <xf numFmtId="3" fontId="10" fillId="0" borderId="0" xfId="2" applyNumberFormat="1" applyFont="1" applyAlignment="1">
      <alignment horizontal="right" vertical="center"/>
    </xf>
    <xf numFmtId="3" fontId="10" fillId="0" borderId="0" xfId="2" applyNumberFormat="1" applyFont="1">
      <alignment vertical="center"/>
    </xf>
    <xf numFmtId="3" fontId="9" fillId="0" borderId="29" xfId="2" applyNumberFormat="1" applyFont="1" applyBorder="1" applyAlignment="1">
      <alignment horizontal="right" vertical="center"/>
    </xf>
    <xf numFmtId="0" fontId="9" fillId="0" borderId="6" xfId="0" applyFont="1" applyBorder="1" applyAlignment="1">
      <alignment horizontal="center" vertical="center" wrapText="1" shrinkToFit="1"/>
    </xf>
    <xf numFmtId="0" fontId="10" fillId="0" borderId="0" xfId="2" applyFont="1" applyAlignment="1">
      <alignment horizontal="left" vertical="center" shrinkToFit="1"/>
    </xf>
    <xf numFmtId="3" fontId="10" fillId="0" borderId="0" xfId="2" quotePrefix="1" applyNumberFormat="1" applyFont="1" applyAlignment="1">
      <alignment horizontal="right" vertical="center"/>
    </xf>
    <xf numFmtId="3" fontId="3" fillId="0" borderId="0" xfId="0" applyNumberFormat="1" applyFont="1">
      <alignment vertical="center"/>
    </xf>
    <xf numFmtId="0" fontId="13" fillId="0" borderId="0" xfId="0" applyFont="1" applyAlignment="1">
      <alignment vertical="center" shrinkToFit="1"/>
    </xf>
    <xf numFmtId="0" fontId="10" fillId="0" borderId="38" xfId="2" applyFont="1" applyBorder="1" applyAlignment="1">
      <alignment horizontal="left" vertical="center"/>
    </xf>
    <xf numFmtId="0" fontId="10" fillId="0" borderId="37" xfId="2" applyFont="1" applyBorder="1" applyAlignment="1">
      <alignment horizontal="left" vertical="center"/>
    </xf>
    <xf numFmtId="0" fontId="10" fillId="0" borderId="29" xfId="2" applyFont="1" applyBorder="1">
      <alignment vertical="center"/>
    </xf>
    <xf numFmtId="0" fontId="10" fillId="0" borderId="42" xfId="2" applyFont="1" applyBorder="1" applyAlignment="1">
      <alignment horizontal="left" vertical="center"/>
    </xf>
    <xf numFmtId="3" fontId="10" fillId="0" borderId="42" xfId="2" applyNumberFormat="1" applyFont="1" applyBorder="1" applyAlignment="1">
      <alignment horizontal="right" vertical="center"/>
    </xf>
    <xf numFmtId="3" fontId="10" fillId="0" borderId="42" xfId="2" applyNumberFormat="1" applyFont="1" applyBorder="1">
      <alignment vertical="center"/>
    </xf>
    <xf numFmtId="3" fontId="3" fillId="0" borderId="0" xfId="2" applyNumberFormat="1" applyFont="1">
      <alignment vertical="center"/>
    </xf>
    <xf numFmtId="41" fontId="10" fillId="0" borderId="0" xfId="1" applyFont="1">
      <alignment vertical="center"/>
    </xf>
    <xf numFmtId="3" fontId="9" fillId="0" borderId="10" xfId="1" applyNumberFormat="1" applyFont="1" applyBorder="1" applyAlignment="1">
      <alignment horizontal="right" vertical="center"/>
    </xf>
    <xf numFmtId="0" fontId="10" fillId="0" borderId="63" xfId="2" applyFont="1" applyBorder="1" applyAlignment="1">
      <alignment horizontal="center" vertical="center"/>
    </xf>
    <xf numFmtId="3" fontId="10" fillId="0" borderId="63" xfId="2" applyNumberFormat="1" applyFont="1" applyBorder="1" applyAlignment="1">
      <alignment horizontal="center" vertical="center" wrapText="1"/>
    </xf>
    <xf numFmtId="41" fontId="3" fillId="0" borderId="0" xfId="1" applyFont="1">
      <alignment vertical="center"/>
    </xf>
    <xf numFmtId="3" fontId="10" fillId="0" borderId="60" xfId="2" applyNumberFormat="1" applyFont="1" applyBorder="1" applyAlignment="1">
      <alignment horizontal="right" vertical="center"/>
    </xf>
    <xf numFmtId="0" fontId="10" fillId="0" borderId="68" xfId="2" applyFont="1" applyBorder="1" applyAlignment="1">
      <alignment horizontal="center" vertical="center"/>
    </xf>
    <xf numFmtId="3" fontId="10" fillId="0" borderId="69" xfId="2" applyNumberFormat="1" applyFont="1" applyBorder="1" applyAlignment="1">
      <alignment horizontal="center" vertical="center"/>
    </xf>
    <xf numFmtId="3" fontId="9" fillId="0" borderId="52" xfId="2" applyNumberFormat="1" applyFont="1" applyBorder="1" applyAlignment="1">
      <alignment horizontal="right" vertical="center"/>
    </xf>
    <xf numFmtId="0" fontId="10" fillId="0" borderId="12" xfId="2" applyFont="1" applyBorder="1" applyAlignment="1">
      <alignment vertical="center" shrinkToFit="1"/>
    </xf>
    <xf numFmtId="3" fontId="10" fillId="0" borderId="52" xfId="2" applyNumberFormat="1" applyFont="1" applyBorder="1" applyAlignment="1">
      <alignment horizontal="right" vertical="center"/>
    </xf>
    <xf numFmtId="0" fontId="10" fillId="0" borderId="17" xfId="2" applyFont="1" applyBorder="1" applyAlignment="1">
      <alignment vertical="center" shrinkToFit="1"/>
    </xf>
    <xf numFmtId="3" fontId="10" fillId="0" borderId="53" xfId="2" applyNumberFormat="1" applyFont="1" applyBorder="1" applyAlignment="1">
      <alignment horizontal="right" vertical="center"/>
    </xf>
    <xf numFmtId="0" fontId="10" fillId="0" borderId="45" xfId="2" applyFont="1" applyBorder="1">
      <alignment vertical="center"/>
    </xf>
    <xf numFmtId="3" fontId="10" fillId="0" borderId="57" xfId="2" applyNumberFormat="1" applyFont="1" applyBorder="1" applyAlignment="1">
      <alignment horizontal="right" vertical="center"/>
    </xf>
    <xf numFmtId="0" fontId="10" fillId="0" borderId="16" xfId="2" applyFont="1" applyBorder="1">
      <alignment vertical="center"/>
    </xf>
    <xf numFmtId="3" fontId="0" fillId="0" borderId="0" xfId="0" applyNumberFormat="1">
      <alignment vertical="center"/>
    </xf>
    <xf numFmtId="3" fontId="10" fillId="0" borderId="14" xfId="2" applyNumberFormat="1" applyFont="1" applyBorder="1" applyAlignment="1">
      <alignment horizontal="right" vertical="center"/>
    </xf>
    <xf numFmtId="3" fontId="10" fillId="0" borderId="0" xfId="1" applyNumberFormat="1" applyFont="1" applyBorder="1" applyAlignment="1">
      <alignment horizontal="right" vertical="center"/>
    </xf>
    <xf numFmtId="3" fontId="10" fillId="0" borderId="35" xfId="2" applyNumberFormat="1" applyFont="1" applyBorder="1" applyAlignment="1">
      <alignment horizontal="right" vertical="center"/>
    </xf>
    <xf numFmtId="0" fontId="17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3" fontId="13" fillId="0" borderId="0" xfId="0" applyNumberFormat="1" applyFont="1">
      <alignment vertical="center"/>
    </xf>
    <xf numFmtId="41" fontId="13" fillId="0" borderId="0" xfId="1" applyFont="1">
      <alignment vertical="center"/>
    </xf>
    <xf numFmtId="41" fontId="10" fillId="0" borderId="38" xfId="1" applyFont="1" applyBorder="1" applyAlignment="1">
      <alignment horizontal="left" vertical="center"/>
    </xf>
    <xf numFmtId="3" fontId="10" fillId="0" borderId="15" xfId="2" quotePrefix="1" applyNumberFormat="1" applyFont="1" applyBorder="1" applyAlignment="1">
      <alignment horizontal="right" vertical="center"/>
    </xf>
    <xf numFmtId="41" fontId="10" fillId="0" borderId="20" xfId="1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0" fillId="0" borderId="0" xfId="2" applyFont="1" applyBorder="1">
      <alignment vertical="center"/>
    </xf>
    <xf numFmtId="0" fontId="10" fillId="0" borderId="29" xfId="2" applyFont="1" applyBorder="1" applyAlignment="1">
      <alignment horizontal="left" vertical="center"/>
    </xf>
    <xf numFmtId="0" fontId="10" fillId="0" borderId="47" xfId="2" applyFont="1" applyBorder="1" applyAlignment="1">
      <alignment horizontal="left" vertical="center"/>
    </xf>
    <xf numFmtId="0" fontId="10" fillId="0" borderId="41" xfId="2" applyFont="1" applyBorder="1">
      <alignment vertical="center"/>
    </xf>
    <xf numFmtId="0" fontId="10" fillId="0" borderId="65" xfId="2" applyFont="1" applyBorder="1">
      <alignment vertical="center"/>
    </xf>
    <xf numFmtId="3" fontId="18" fillId="0" borderId="0" xfId="0" applyNumberFormat="1" applyFont="1" applyFill="1">
      <alignment vertical="center"/>
    </xf>
    <xf numFmtId="3" fontId="19" fillId="0" borderId="0" xfId="0" applyNumberFormat="1" applyFont="1" applyFill="1">
      <alignment vertical="center"/>
    </xf>
    <xf numFmtId="3" fontId="16" fillId="0" borderId="0" xfId="0" applyNumberFormat="1" applyFont="1" applyFill="1" applyAlignment="1">
      <alignment horizontal="right" vertical="center"/>
    </xf>
    <xf numFmtId="3" fontId="3" fillId="0" borderId="0" xfId="0" applyNumberFormat="1" applyFont="1" applyFill="1">
      <alignment vertical="center"/>
    </xf>
    <xf numFmtId="41" fontId="10" fillId="0" borderId="38" xfId="1" applyFont="1" applyBorder="1">
      <alignment vertical="center"/>
    </xf>
    <xf numFmtId="0" fontId="11" fillId="0" borderId="0" xfId="0" applyFont="1" applyFill="1" applyAlignment="1">
      <alignment horizontal="left" vertical="center"/>
    </xf>
    <xf numFmtId="41" fontId="11" fillId="0" borderId="0" xfId="1" applyFont="1" applyFill="1" applyAlignment="1">
      <alignment horizontal="left" vertical="center"/>
    </xf>
    <xf numFmtId="41" fontId="3" fillId="0" borderId="0" xfId="0" applyNumberFormat="1" applyFont="1" applyFill="1">
      <alignment vertical="center"/>
    </xf>
    <xf numFmtId="0" fontId="3" fillId="0" borderId="0" xfId="0" applyFont="1" applyFill="1">
      <alignment vertical="center"/>
    </xf>
    <xf numFmtId="3" fontId="13" fillId="0" borderId="0" xfId="0" applyNumberFormat="1" applyFont="1" applyFill="1" applyAlignment="1">
      <alignment horizontal="right" vertical="center"/>
    </xf>
    <xf numFmtId="41" fontId="13" fillId="0" borderId="0" xfId="0" applyNumberFormat="1" applyFont="1" applyFill="1" applyAlignment="1">
      <alignment horizontal="right" vertical="center"/>
    </xf>
    <xf numFmtId="0" fontId="13" fillId="0" borderId="0" xfId="0" applyFont="1" applyFill="1">
      <alignment vertical="center"/>
    </xf>
    <xf numFmtId="3" fontId="3" fillId="0" borderId="0" xfId="0" applyNumberFormat="1" applyFont="1" applyFill="1" applyAlignment="1">
      <alignment horizontal="right" vertical="center"/>
    </xf>
    <xf numFmtId="0" fontId="10" fillId="0" borderId="12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3" fontId="10" fillId="0" borderId="14" xfId="2" applyNumberFormat="1" applyFont="1" applyBorder="1" applyAlignment="1">
      <alignment horizontal="left" vertical="center"/>
    </xf>
    <xf numFmtId="3" fontId="10" fillId="0" borderId="40" xfId="2" applyNumberFormat="1" applyFont="1" applyBorder="1" applyAlignment="1">
      <alignment horizontal="left" vertical="center"/>
    </xf>
    <xf numFmtId="3" fontId="10" fillId="0" borderId="53" xfId="2" applyNumberFormat="1" applyFont="1" applyBorder="1" applyAlignment="1">
      <alignment horizontal="left" vertical="center"/>
    </xf>
    <xf numFmtId="41" fontId="10" fillId="0" borderId="37" xfId="1" applyFont="1" applyBorder="1" applyAlignment="1">
      <alignment horizontal="left" vertical="center"/>
    </xf>
    <xf numFmtId="3" fontId="10" fillId="0" borderId="30" xfId="2" quotePrefix="1" applyNumberFormat="1" applyFont="1" applyBorder="1" applyAlignment="1">
      <alignment horizontal="right" vertical="center"/>
    </xf>
    <xf numFmtId="0" fontId="10" fillId="0" borderId="45" xfId="0" applyFont="1" applyBorder="1" applyAlignment="1">
      <alignment horizontal="left" vertical="center"/>
    </xf>
    <xf numFmtId="0" fontId="10" fillId="0" borderId="37" xfId="0" applyFont="1" applyBorder="1" applyAlignment="1">
      <alignment horizontal="left" vertical="center"/>
    </xf>
    <xf numFmtId="0" fontId="10" fillId="0" borderId="62" xfId="2" applyFont="1" applyBorder="1">
      <alignment vertical="center"/>
    </xf>
    <xf numFmtId="0" fontId="10" fillId="0" borderId="39" xfId="2" applyFont="1" applyBorder="1">
      <alignment vertical="center"/>
    </xf>
    <xf numFmtId="0" fontId="10" fillId="0" borderId="0" xfId="0" applyFont="1" applyAlignment="1">
      <alignment horizontal="center" vertical="center"/>
    </xf>
    <xf numFmtId="41" fontId="10" fillId="0" borderId="0" xfId="0" applyNumberFormat="1" applyFont="1" applyAlignment="1">
      <alignment horizontal="right" vertical="center"/>
    </xf>
    <xf numFmtId="41" fontId="10" fillId="0" borderId="66" xfId="0" applyNumberFormat="1" applyFont="1" applyBorder="1">
      <alignment vertical="center"/>
    </xf>
    <xf numFmtId="3" fontId="10" fillId="0" borderId="0" xfId="0" applyNumberFormat="1" applyFont="1" applyAlignment="1">
      <alignment horizontal="right" vertical="center"/>
    </xf>
    <xf numFmtId="0" fontId="7" fillId="0" borderId="0" xfId="0" applyFont="1">
      <alignment vertical="center"/>
    </xf>
    <xf numFmtId="3" fontId="9" fillId="0" borderId="0" xfId="1" applyNumberFormat="1" applyFont="1" applyFill="1" applyBorder="1" applyAlignment="1">
      <alignment horizontal="right" vertical="center"/>
    </xf>
    <xf numFmtId="3" fontId="10" fillId="0" borderId="0" xfId="0" applyNumberFormat="1" applyFont="1" applyFill="1" applyAlignment="1">
      <alignment horizontal="right" vertical="center"/>
    </xf>
    <xf numFmtId="41" fontId="10" fillId="0" borderId="0" xfId="0" applyNumberFormat="1" applyFont="1" applyFill="1">
      <alignment vertical="center"/>
    </xf>
    <xf numFmtId="3" fontId="9" fillId="0" borderId="32" xfId="0" applyNumberFormat="1" applyFont="1" applyFill="1" applyBorder="1" applyAlignment="1">
      <alignment horizontal="center" vertical="center"/>
    </xf>
    <xf numFmtId="41" fontId="9" fillId="0" borderId="32" xfId="0" applyNumberFormat="1" applyFont="1" applyFill="1" applyBorder="1" applyAlignment="1">
      <alignment horizontal="center" vertical="center"/>
    </xf>
    <xf numFmtId="3" fontId="9" fillId="0" borderId="10" xfId="1" applyNumberFormat="1" applyFont="1" applyFill="1" applyBorder="1" applyAlignment="1">
      <alignment horizontal="right" vertical="center"/>
    </xf>
    <xf numFmtId="3" fontId="9" fillId="0" borderId="29" xfId="1" applyNumberFormat="1" applyFont="1" applyFill="1" applyBorder="1" applyAlignment="1">
      <alignment vertical="center"/>
    </xf>
    <xf numFmtId="43" fontId="20" fillId="0" borderId="39" xfId="7" applyNumberFormat="1" applyFont="1" applyFill="1" applyBorder="1" applyAlignment="1">
      <alignment horizontal="right" vertical="center"/>
    </xf>
    <xf numFmtId="0" fontId="10" fillId="0" borderId="39" xfId="0" applyFont="1" applyFill="1" applyBorder="1" applyAlignment="1">
      <alignment vertical="center" shrinkToFit="1"/>
    </xf>
    <xf numFmtId="3" fontId="9" fillId="0" borderId="20" xfId="1" applyNumberFormat="1" applyFont="1" applyFill="1" applyBorder="1" applyAlignment="1">
      <alignment vertical="center"/>
    </xf>
    <xf numFmtId="0" fontId="10" fillId="0" borderId="14" xfId="0" applyFont="1" applyFill="1" applyBorder="1" applyAlignment="1">
      <alignment vertical="center" shrinkToFit="1"/>
    </xf>
    <xf numFmtId="3" fontId="10" fillId="0" borderId="20" xfId="1" applyNumberFormat="1" applyFont="1" applyFill="1" applyBorder="1" applyAlignment="1">
      <alignment vertical="center"/>
    </xf>
    <xf numFmtId="3" fontId="10" fillId="0" borderId="29" xfId="1" applyNumberFormat="1" applyFont="1" applyFill="1" applyBorder="1" applyAlignment="1">
      <alignment vertical="center"/>
    </xf>
    <xf numFmtId="43" fontId="21" fillId="0" borderId="39" xfId="7" applyNumberFormat="1" applyFont="1" applyFill="1" applyBorder="1" applyAlignment="1">
      <alignment horizontal="right" vertical="center"/>
    </xf>
    <xf numFmtId="3" fontId="10" fillId="0" borderId="38" xfId="0" applyNumberFormat="1" applyFont="1" applyFill="1" applyBorder="1">
      <alignment vertical="center"/>
    </xf>
    <xf numFmtId="43" fontId="21" fillId="0" borderId="36" xfId="7" applyNumberFormat="1" applyFont="1" applyFill="1" applyBorder="1" applyAlignment="1">
      <alignment horizontal="right" vertical="center"/>
    </xf>
    <xf numFmtId="0" fontId="10" fillId="0" borderId="21" xfId="0" applyFont="1" applyFill="1" applyBorder="1" applyAlignment="1">
      <alignment vertical="center" shrinkToFit="1"/>
    </xf>
    <xf numFmtId="3" fontId="10" fillId="0" borderId="37" xfId="0" applyNumberFormat="1" applyFont="1" applyFill="1" applyBorder="1">
      <alignment vertical="center"/>
    </xf>
    <xf numFmtId="3" fontId="10" fillId="0" borderId="37" xfId="1" applyNumberFormat="1" applyFont="1" applyFill="1" applyBorder="1" applyAlignment="1">
      <alignment vertical="center"/>
    </xf>
    <xf numFmtId="43" fontId="21" fillId="0" borderId="48" xfId="7" applyNumberFormat="1" applyFont="1" applyFill="1" applyBorder="1" applyAlignment="1">
      <alignment horizontal="right" vertical="center"/>
    </xf>
    <xf numFmtId="3" fontId="9" fillId="0" borderId="20" xfId="0" applyNumberFormat="1" applyFont="1" applyFill="1" applyBorder="1">
      <alignment vertical="center"/>
    </xf>
    <xf numFmtId="43" fontId="21" fillId="0" borderId="20" xfId="7" applyNumberFormat="1" applyFont="1" applyFill="1" applyBorder="1" applyAlignment="1">
      <alignment horizontal="right" vertical="center"/>
    </xf>
    <xf numFmtId="3" fontId="10" fillId="0" borderId="20" xfId="0" applyNumberFormat="1" applyFont="1" applyFill="1" applyBorder="1">
      <alignment vertical="center"/>
    </xf>
    <xf numFmtId="3" fontId="10" fillId="0" borderId="38" xfId="1" applyNumberFormat="1" applyFont="1" applyFill="1" applyBorder="1" applyAlignment="1">
      <alignment vertical="center"/>
    </xf>
    <xf numFmtId="43" fontId="21" fillId="0" borderId="46" xfId="7" applyNumberFormat="1" applyFont="1" applyFill="1" applyBorder="1" applyAlignment="1">
      <alignment horizontal="right" vertical="center"/>
    </xf>
    <xf numFmtId="43" fontId="21" fillId="0" borderId="37" xfId="7" applyNumberFormat="1" applyFont="1" applyFill="1" applyBorder="1" applyAlignment="1">
      <alignment horizontal="right" vertical="center"/>
    </xf>
    <xf numFmtId="0" fontId="10" fillId="0" borderId="46" xfId="0" applyFont="1" applyFill="1" applyBorder="1" applyAlignment="1">
      <alignment vertical="center" shrinkToFit="1"/>
    </xf>
    <xf numFmtId="3" fontId="10" fillId="0" borderId="25" xfId="0" applyNumberFormat="1" applyFont="1" applyFill="1" applyBorder="1">
      <alignment vertical="center"/>
    </xf>
    <xf numFmtId="3" fontId="10" fillId="0" borderId="25" xfId="1" applyNumberFormat="1" applyFont="1" applyFill="1" applyBorder="1" applyAlignment="1">
      <alignment vertical="center"/>
    </xf>
    <xf numFmtId="43" fontId="21" fillId="0" borderId="25" xfId="7" applyNumberFormat="1" applyFont="1" applyFill="1" applyBorder="1" applyAlignment="1">
      <alignment horizontal="right" vertical="center"/>
    </xf>
    <xf numFmtId="0" fontId="10" fillId="0" borderId="49" xfId="0" applyFont="1" applyFill="1" applyBorder="1" applyAlignment="1">
      <alignment vertical="center" shrinkToFit="1"/>
    </xf>
    <xf numFmtId="3" fontId="9" fillId="0" borderId="43" xfId="1" applyNumberFormat="1" applyFont="1" applyFill="1" applyBorder="1" applyAlignment="1">
      <alignment vertical="center"/>
    </xf>
    <xf numFmtId="43" fontId="20" fillId="0" borderId="43" xfId="7" applyNumberFormat="1" applyFont="1" applyFill="1" applyBorder="1" applyAlignment="1">
      <alignment horizontal="right" vertical="center"/>
    </xf>
    <xf numFmtId="0" fontId="10" fillId="0" borderId="73" xfId="0" applyFont="1" applyFill="1" applyBorder="1" applyAlignment="1">
      <alignment vertical="center" shrinkToFit="1"/>
    </xf>
    <xf numFmtId="43" fontId="21" fillId="0" borderId="29" xfId="7" applyNumberFormat="1" applyFont="1" applyFill="1" applyBorder="1" applyAlignment="1">
      <alignment horizontal="right" vertical="center"/>
    </xf>
    <xf numFmtId="43" fontId="21" fillId="0" borderId="38" xfId="7" applyNumberFormat="1" applyFont="1" applyFill="1" applyBorder="1" applyAlignment="1">
      <alignment horizontal="right" vertical="center"/>
    </xf>
    <xf numFmtId="43" fontId="20" fillId="0" borderId="14" xfId="7" applyNumberFormat="1" applyFont="1" applyFill="1" applyBorder="1" applyAlignment="1">
      <alignment horizontal="right" vertical="center"/>
    </xf>
    <xf numFmtId="0" fontId="10" fillId="0" borderId="46" xfId="0" applyFont="1" applyFill="1" applyBorder="1" applyAlignment="1">
      <alignment vertical="center" wrapText="1" shrinkToFit="1"/>
    </xf>
    <xf numFmtId="0" fontId="10" fillId="0" borderId="0" xfId="0" applyFont="1" applyFill="1" applyBorder="1" applyAlignment="1">
      <alignment vertical="center" wrapText="1" shrinkToFit="1"/>
    </xf>
    <xf numFmtId="3" fontId="10" fillId="0" borderId="47" xfId="1" applyNumberFormat="1" applyFont="1" applyFill="1" applyBorder="1" applyAlignment="1">
      <alignment vertical="center"/>
    </xf>
    <xf numFmtId="43" fontId="21" fillId="0" borderId="47" xfId="7" applyNumberFormat="1" applyFont="1" applyFill="1" applyBorder="1" applyAlignment="1">
      <alignment horizontal="right" vertical="center"/>
    </xf>
    <xf numFmtId="0" fontId="10" fillId="0" borderId="42" xfId="0" applyFont="1" applyFill="1" applyBorder="1" applyAlignment="1">
      <alignment vertical="center" wrapText="1" shrinkToFit="1"/>
    </xf>
    <xf numFmtId="3" fontId="10" fillId="0" borderId="0" xfId="0" applyNumberFormat="1" applyFont="1" applyFill="1">
      <alignment vertical="center"/>
    </xf>
    <xf numFmtId="0" fontId="10" fillId="0" borderId="0" xfId="0" applyFont="1" applyFill="1">
      <alignment vertical="center"/>
    </xf>
    <xf numFmtId="41" fontId="10" fillId="0" borderId="0" xfId="1" applyFont="1" applyFill="1">
      <alignment vertical="center"/>
    </xf>
    <xf numFmtId="41" fontId="3" fillId="0" borderId="0" xfId="1" applyFont="1" applyFill="1">
      <alignment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41" fontId="10" fillId="0" borderId="71" xfId="1" applyFont="1" applyFill="1" applyBorder="1">
      <alignment vertical="center"/>
    </xf>
    <xf numFmtId="41" fontId="10" fillId="0" borderId="53" xfId="1" applyFont="1" applyFill="1" applyBorder="1">
      <alignment vertical="center"/>
    </xf>
    <xf numFmtId="0" fontId="10" fillId="0" borderId="38" xfId="0" applyFont="1" applyFill="1" applyBorder="1" applyAlignment="1">
      <alignment horizontal="left" vertical="center"/>
    </xf>
    <xf numFmtId="41" fontId="10" fillId="0" borderId="55" xfId="1" applyFont="1" applyFill="1" applyBorder="1">
      <alignment vertical="center"/>
    </xf>
    <xf numFmtId="0" fontId="10" fillId="0" borderId="37" xfId="0" applyFont="1" applyFill="1" applyBorder="1" applyAlignment="1">
      <alignment horizontal="left" vertical="center"/>
    </xf>
    <xf numFmtId="41" fontId="10" fillId="0" borderId="57" xfId="1" applyFont="1" applyFill="1" applyBorder="1">
      <alignment vertical="center"/>
    </xf>
    <xf numFmtId="0" fontId="10" fillId="0" borderId="45" xfId="0" applyFont="1" applyFill="1" applyBorder="1" applyAlignment="1">
      <alignment horizontal="center" vertical="center"/>
    </xf>
    <xf numFmtId="0" fontId="10" fillId="0" borderId="37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left" vertical="center"/>
    </xf>
    <xf numFmtId="0" fontId="10" fillId="0" borderId="46" xfId="0" applyFont="1" applyFill="1" applyBorder="1" applyAlignment="1">
      <alignment horizontal="left" vertical="center"/>
    </xf>
    <xf numFmtId="41" fontId="10" fillId="0" borderId="52" xfId="1" applyFont="1" applyFill="1" applyBorder="1">
      <alignment vertical="center"/>
    </xf>
    <xf numFmtId="0" fontId="10" fillId="0" borderId="64" xfId="0" applyFont="1" applyFill="1" applyBorder="1" applyAlignment="1">
      <alignment horizontal="center" vertical="center"/>
    </xf>
    <xf numFmtId="0" fontId="10" fillId="0" borderId="47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left" vertical="center"/>
    </xf>
    <xf numFmtId="41" fontId="10" fillId="0" borderId="54" xfId="1" applyFont="1" applyFill="1" applyBorder="1">
      <alignment vertical="center"/>
    </xf>
    <xf numFmtId="41" fontId="10" fillId="0" borderId="74" xfId="1" applyFont="1" applyFill="1" applyBorder="1">
      <alignment vertical="center"/>
    </xf>
    <xf numFmtId="43" fontId="3" fillId="0" borderId="0" xfId="1" applyNumberFormat="1" applyFont="1" applyFill="1">
      <alignment vertical="center"/>
    </xf>
    <xf numFmtId="0" fontId="10" fillId="0" borderId="16" xfId="0" applyFont="1" applyFill="1" applyBorder="1" applyAlignment="1">
      <alignment horizontal="left" vertical="center"/>
    </xf>
    <xf numFmtId="0" fontId="10" fillId="0" borderId="39" xfId="0" applyFont="1" applyFill="1" applyBorder="1" applyAlignment="1">
      <alignment horizontal="left" vertical="center"/>
    </xf>
    <xf numFmtId="0" fontId="10" fillId="0" borderId="28" xfId="0" applyFont="1" applyFill="1" applyBorder="1" applyAlignment="1">
      <alignment horizontal="left" vertical="center"/>
    </xf>
    <xf numFmtId="0" fontId="10" fillId="0" borderId="45" xfId="0" applyFont="1" applyFill="1" applyBorder="1" applyAlignment="1">
      <alignment horizontal="left" vertical="center"/>
    </xf>
    <xf numFmtId="0" fontId="10" fillId="0" borderId="61" xfId="0" applyFont="1" applyFill="1" applyBorder="1" applyAlignment="1">
      <alignment horizontal="left" vertical="center"/>
    </xf>
    <xf numFmtId="0" fontId="10" fillId="0" borderId="40" xfId="0" applyFont="1" applyFill="1" applyBorder="1" applyAlignment="1">
      <alignment horizontal="left" vertical="center"/>
    </xf>
    <xf numFmtId="0" fontId="10" fillId="0" borderId="13" xfId="0" applyFont="1" applyFill="1" applyBorder="1" applyAlignment="1">
      <alignment horizontal="left" vertical="center"/>
    </xf>
    <xf numFmtId="0" fontId="10" fillId="0" borderId="14" xfId="0" applyFont="1" applyFill="1" applyBorder="1" applyAlignment="1">
      <alignment horizontal="left" vertical="center"/>
    </xf>
    <xf numFmtId="0" fontId="10" fillId="0" borderId="21" xfId="0" applyFont="1" applyFill="1" applyBorder="1" applyAlignment="1">
      <alignment horizontal="left" vertical="center"/>
    </xf>
    <xf numFmtId="0" fontId="10" fillId="0" borderId="65" xfId="0" applyFont="1" applyFill="1" applyBorder="1" applyAlignment="1">
      <alignment horizontal="left" vertical="center"/>
    </xf>
    <xf numFmtId="0" fontId="10" fillId="0" borderId="47" xfId="0" applyFont="1" applyFill="1" applyBorder="1" applyAlignment="1">
      <alignment horizontal="left" vertical="center"/>
    </xf>
    <xf numFmtId="0" fontId="10" fillId="0" borderId="41" xfId="0" applyFont="1" applyFill="1" applyBorder="1" applyAlignment="1">
      <alignment horizontal="left" vertical="center"/>
    </xf>
    <xf numFmtId="41" fontId="10" fillId="0" borderId="60" xfId="1" applyFont="1" applyFill="1" applyBorder="1">
      <alignment vertical="center"/>
    </xf>
    <xf numFmtId="3" fontId="10" fillId="0" borderId="0" xfId="1" applyNumberFormat="1" applyFont="1" applyFill="1" applyBorder="1" applyAlignment="1">
      <alignment vertical="center"/>
    </xf>
    <xf numFmtId="3" fontId="22" fillId="0" borderId="0" xfId="0" applyNumberFormat="1" applyFont="1" applyFill="1">
      <alignment vertical="center"/>
    </xf>
    <xf numFmtId="3" fontId="23" fillId="0" borderId="10" xfId="1" applyNumberFormat="1" applyFont="1" applyFill="1" applyBorder="1" applyAlignment="1">
      <alignment horizontal="right" vertical="center"/>
    </xf>
    <xf numFmtId="3" fontId="10" fillId="0" borderId="39" xfId="0" applyNumberFormat="1" applyFont="1" applyFill="1" applyBorder="1" applyAlignment="1">
      <alignment vertical="center" wrapText="1"/>
    </xf>
    <xf numFmtId="3" fontId="23" fillId="0" borderId="20" xfId="1" applyNumberFormat="1" applyFont="1" applyFill="1" applyBorder="1" applyAlignment="1">
      <alignment horizontal="right" vertical="center"/>
    </xf>
    <xf numFmtId="3" fontId="9" fillId="0" borderId="20" xfId="1" applyNumberFormat="1" applyFont="1" applyFill="1" applyBorder="1" applyAlignment="1">
      <alignment horizontal="right" vertical="center"/>
    </xf>
    <xf numFmtId="3" fontId="10" fillId="0" borderId="14" xfId="0" applyNumberFormat="1" applyFont="1" applyFill="1" applyBorder="1" applyAlignment="1">
      <alignment vertical="center" wrapText="1"/>
    </xf>
    <xf numFmtId="3" fontId="22" fillId="0" borderId="20" xfId="1" applyNumberFormat="1" applyFont="1" applyFill="1" applyBorder="1" applyAlignment="1">
      <alignment horizontal="right" vertical="center"/>
    </xf>
    <xf numFmtId="3" fontId="10" fillId="0" borderId="20" xfId="1" applyNumberFormat="1" applyFont="1" applyFill="1" applyBorder="1" applyAlignment="1">
      <alignment horizontal="right" vertical="center"/>
    </xf>
    <xf numFmtId="0" fontId="10" fillId="0" borderId="14" xfId="0" applyFont="1" applyFill="1" applyBorder="1" applyAlignment="1">
      <alignment vertical="center" wrapText="1"/>
    </xf>
    <xf numFmtId="3" fontId="22" fillId="0" borderId="38" xfId="1" applyNumberFormat="1" applyFont="1" applyFill="1" applyBorder="1" applyAlignment="1">
      <alignment horizontal="right" vertical="center"/>
    </xf>
    <xf numFmtId="0" fontId="10" fillId="0" borderId="21" xfId="0" applyFont="1" applyFill="1" applyBorder="1" applyAlignment="1">
      <alignment vertical="center" wrapText="1"/>
    </xf>
    <xf numFmtId="41" fontId="9" fillId="2" borderId="57" xfId="1" applyFont="1" applyFill="1" applyBorder="1">
      <alignment vertical="center"/>
    </xf>
    <xf numFmtId="3" fontId="22" fillId="0" borderId="37" xfId="1" applyNumberFormat="1" applyFont="1" applyFill="1" applyBorder="1" applyAlignment="1">
      <alignment horizontal="right" vertical="center"/>
    </xf>
    <xf numFmtId="3" fontId="9" fillId="0" borderId="37" xfId="1" applyNumberFormat="1" applyFont="1" applyFill="1" applyBorder="1" applyAlignment="1">
      <alignment horizontal="right" vertical="center"/>
    </xf>
    <xf numFmtId="41" fontId="10" fillId="0" borderId="37" xfId="1" applyFont="1" applyFill="1" applyBorder="1" applyAlignment="1">
      <alignment horizontal="right" vertical="center"/>
    </xf>
    <xf numFmtId="41" fontId="10" fillId="0" borderId="48" xfId="1" applyFont="1" applyFill="1" applyBorder="1" applyAlignment="1">
      <alignment horizontal="right" vertical="center"/>
    </xf>
    <xf numFmtId="3" fontId="22" fillId="0" borderId="47" xfId="1" applyNumberFormat="1" applyFont="1" applyFill="1" applyBorder="1" applyAlignment="1">
      <alignment horizontal="right" vertical="center"/>
    </xf>
    <xf numFmtId="3" fontId="9" fillId="0" borderId="47" xfId="1" applyNumberFormat="1" applyFont="1" applyFill="1" applyBorder="1" applyAlignment="1">
      <alignment horizontal="right" vertical="center"/>
    </xf>
    <xf numFmtId="41" fontId="10" fillId="0" borderId="47" xfId="1" applyFont="1" applyFill="1" applyBorder="1" applyAlignment="1">
      <alignment horizontal="right" vertical="center"/>
    </xf>
    <xf numFmtId="0" fontId="10" fillId="0" borderId="41" xfId="0" applyFont="1" applyFill="1" applyBorder="1" applyAlignment="1">
      <alignment vertical="center" shrinkToFit="1"/>
    </xf>
    <xf numFmtId="41" fontId="10" fillId="0" borderId="46" xfId="1" applyFont="1" applyFill="1" applyBorder="1" applyAlignment="1">
      <alignment horizontal="right" vertical="center"/>
    </xf>
    <xf numFmtId="41" fontId="10" fillId="0" borderId="29" xfId="1" applyFont="1" applyFill="1" applyBorder="1" applyAlignment="1">
      <alignment horizontal="right" vertical="center"/>
    </xf>
    <xf numFmtId="3" fontId="10" fillId="0" borderId="38" xfId="1" applyNumberFormat="1" applyFont="1" applyFill="1" applyBorder="1" applyAlignment="1">
      <alignment horizontal="right" vertical="center"/>
    </xf>
    <xf numFmtId="49" fontId="10" fillId="0" borderId="46" xfId="0" applyNumberFormat="1" applyFont="1" applyFill="1" applyBorder="1" applyAlignment="1">
      <alignment vertical="center" shrinkToFit="1"/>
    </xf>
    <xf numFmtId="3" fontId="9" fillId="0" borderId="29" xfId="1" applyNumberFormat="1" applyFont="1" applyFill="1" applyBorder="1" applyAlignment="1">
      <alignment horizontal="right" vertical="center"/>
    </xf>
    <xf numFmtId="3" fontId="10" fillId="0" borderId="29" xfId="1" applyNumberFormat="1" applyFont="1" applyFill="1" applyBorder="1" applyAlignment="1">
      <alignment horizontal="right" vertical="center"/>
    </xf>
    <xf numFmtId="3" fontId="22" fillId="0" borderId="29" xfId="1" applyNumberFormat="1" applyFont="1" applyFill="1" applyBorder="1" applyAlignment="1">
      <alignment horizontal="right" vertical="center"/>
    </xf>
    <xf numFmtId="3" fontId="10" fillId="0" borderId="47" xfId="1" applyNumberFormat="1" applyFont="1" applyFill="1" applyBorder="1" applyAlignment="1">
      <alignment horizontal="right" vertical="center"/>
    </xf>
    <xf numFmtId="43" fontId="21" fillId="0" borderId="41" xfId="7" applyNumberFormat="1" applyFont="1" applyFill="1" applyBorder="1" applyAlignment="1">
      <alignment horizontal="right" vertical="center"/>
    </xf>
    <xf numFmtId="3" fontId="10" fillId="0" borderId="37" xfId="1" applyNumberFormat="1" applyFont="1" applyFill="1" applyBorder="1" applyAlignment="1">
      <alignment horizontal="right" vertical="center"/>
    </xf>
    <xf numFmtId="0" fontId="10" fillId="0" borderId="46" xfId="0" applyFont="1" applyFill="1" applyBorder="1" applyAlignment="1">
      <alignment horizontal="left" vertical="center" shrinkToFit="1"/>
    </xf>
    <xf numFmtId="3" fontId="10" fillId="0" borderId="46" xfId="0" applyNumberFormat="1" applyFont="1" applyFill="1" applyBorder="1" applyAlignment="1">
      <alignment vertical="center" shrinkToFit="1"/>
    </xf>
    <xf numFmtId="3" fontId="23" fillId="0" borderId="29" xfId="1" applyNumberFormat="1" applyFont="1" applyFill="1" applyBorder="1" applyAlignment="1">
      <alignment horizontal="right" vertical="center"/>
    </xf>
    <xf numFmtId="3" fontId="10" fillId="0" borderId="21" xfId="0" applyNumberFormat="1" applyFont="1" applyFill="1" applyBorder="1" applyAlignment="1">
      <alignment vertical="center" shrinkToFit="1"/>
    </xf>
    <xf numFmtId="0" fontId="10" fillId="0" borderId="46" xfId="0" applyFont="1" applyFill="1" applyBorder="1">
      <alignment vertical="center"/>
    </xf>
    <xf numFmtId="0" fontId="10" fillId="0" borderId="0" xfId="0" applyFont="1" applyFill="1" applyAlignment="1">
      <alignment vertical="center" shrinkToFit="1"/>
    </xf>
    <xf numFmtId="0" fontId="10" fillId="0" borderId="46" xfId="0" applyFont="1" applyFill="1" applyBorder="1" applyAlignment="1">
      <alignment vertical="center" wrapText="1"/>
    </xf>
    <xf numFmtId="3" fontId="22" fillId="0" borderId="13" xfId="1" applyNumberFormat="1" applyFont="1" applyFill="1" applyBorder="1" applyAlignment="1">
      <alignment horizontal="right" vertical="center"/>
    </xf>
    <xf numFmtId="3" fontId="10" fillId="0" borderId="13" xfId="1" applyNumberFormat="1" applyFont="1" applyFill="1" applyBorder="1" applyAlignment="1">
      <alignment horizontal="right" vertical="center"/>
    </xf>
    <xf numFmtId="3" fontId="10" fillId="0" borderId="39" xfId="0" applyNumberFormat="1" applyFont="1" applyFill="1" applyBorder="1" applyAlignment="1">
      <alignment vertical="center" shrinkToFit="1"/>
    </xf>
    <xf numFmtId="0" fontId="10" fillId="0" borderId="44" xfId="0" applyFont="1" applyFill="1" applyBorder="1" applyAlignment="1">
      <alignment horizontal="left" vertical="center"/>
    </xf>
    <xf numFmtId="43" fontId="10" fillId="0" borderId="0" xfId="0" applyNumberFormat="1" applyFont="1" applyFill="1">
      <alignment vertical="center"/>
    </xf>
    <xf numFmtId="0" fontId="10" fillId="0" borderId="38" xfId="0" applyFont="1" applyFill="1" applyBorder="1" applyAlignment="1">
      <alignment horizontal="left" vertical="center" shrinkToFit="1"/>
    </xf>
    <xf numFmtId="3" fontId="10" fillId="0" borderId="46" xfId="1" applyNumberFormat="1" applyFont="1" applyFill="1" applyBorder="1" applyAlignment="1">
      <alignment horizontal="right" vertical="center"/>
    </xf>
    <xf numFmtId="0" fontId="10" fillId="0" borderId="0" xfId="0" applyNumberFormat="1" applyFont="1" applyFill="1">
      <alignment vertical="center"/>
    </xf>
    <xf numFmtId="0" fontId="10" fillId="0" borderId="36" xfId="0" applyFont="1" applyFill="1" applyBorder="1" applyAlignment="1">
      <alignment horizontal="left" vertical="center"/>
    </xf>
    <xf numFmtId="0" fontId="10" fillId="0" borderId="44" xfId="0" applyFont="1" applyFill="1" applyBorder="1">
      <alignment vertical="center"/>
    </xf>
    <xf numFmtId="41" fontId="10" fillId="0" borderId="44" xfId="1" applyFont="1" applyFill="1" applyBorder="1">
      <alignment vertical="center"/>
    </xf>
    <xf numFmtId="0" fontId="10" fillId="0" borderId="62" xfId="0" applyFont="1" applyFill="1" applyBorder="1" applyAlignment="1">
      <alignment horizontal="left" vertical="center"/>
    </xf>
    <xf numFmtId="41" fontId="9" fillId="0" borderId="52" xfId="1" applyFont="1" applyFill="1" applyBorder="1">
      <alignment vertical="center"/>
    </xf>
    <xf numFmtId="3" fontId="10" fillId="0" borderId="57" xfId="0" applyNumberFormat="1" applyFont="1" applyFill="1" applyBorder="1" applyAlignment="1">
      <alignment vertical="center" shrinkToFit="1"/>
    </xf>
    <xf numFmtId="0" fontId="10" fillId="0" borderId="46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vertical="center" wrapText="1"/>
    </xf>
    <xf numFmtId="0" fontId="10" fillId="0" borderId="37" xfId="0" applyFont="1" applyFill="1" applyBorder="1" applyAlignment="1">
      <alignment vertical="center" wrapText="1"/>
    </xf>
    <xf numFmtId="0" fontId="10" fillId="0" borderId="29" xfId="0" applyFont="1" applyFill="1" applyBorder="1" applyAlignment="1">
      <alignment horizontal="center" vertical="center"/>
    </xf>
    <xf numFmtId="0" fontId="10" fillId="0" borderId="47" xfId="0" applyFont="1" applyFill="1" applyBorder="1" applyAlignment="1">
      <alignment vertical="center" wrapText="1"/>
    </xf>
    <xf numFmtId="0" fontId="10" fillId="0" borderId="13" xfId="0" applyFont="1" applyFill="1" applyBorder="1" applyAlignment="1">
      <alignment vertical="center"/>
    </xf>
    <xf numFmtId="0" fontId="10" fillId="0" borderId="29" xfId="0" applyFont="1" applyFill="1" applyBorder="1" applyAlignment="1">
      <alignment vertical="center" wrapText="1"/>
    </xf>
    <xf numFmtId="0" fontId="10" fillId="0" borderId="37" xfId="0" applyFont="1" applyFill="1" applyBorder="1" applyAlignment="1">
      <alignment vertical="center" shrinkToFit="1"/>
    </xf>
    <xf numFmtId="0" fontId="10" fillId="0" borderId="37" xfId="0" applyFont="1" applyFill="1" applyBorder="1" applyAlignment="1">
      <alignment vertical="center"/>
    </xf>
    <xf numFmtId="0" fontId="10" fillId="0" borderId="29" xfId="0" applyFont="1" applyFill="1" applyBorder="1" applyAlignment="1">
      <alignment vertical="center"/>
    </xf>
    <xf numFmtId="0" fontId="10" fillId="0" borderId="40" xfId="0" applyFont="1" applyFill="1" applyBorder="1" applyAlignment="1">
      <alignment vertical="center"/>
    </xf>
    <xf numFmtId="0" fontId="10" fillId="0" borderId="19" xfId="0" applyFont="1" applyFill="1" applyBorder="1" applyAlignment="1">
      <alignment horizontal="left" vertical="center"/>
    </xf>
    <xf numFmtId="0" fontId="10" fillId="0" borderId="20" xfId="0" applyFont="1" applyFill="1" applyBorder="1" applyAlignment="1">
      <alignment horizontal="left" vertical="center"/>
    </xf>
    <xf numFmtId="0" fontId="10" fillId="0" borderId="38" xfId="0" applyFont="1" applyFill="1" applyBorder="1" applyAlignment="1">
      <alignment vertical="center"/>
    </xf>
    <xf numFmtId="0" fontId="10" fillId="0" borderId="64" xfId="0" applyFont="1" applyFill="1" applyBorder="1" applyAlignment="1">
      <alignment horizontal="left" vertical="center"/>
    </xf>
    <xf numFmtId="0" fontId="10" fillId="0" borderId="47" xfId="0" applyFont="1" applyFill="1" applyBorder="1" applyAlignment="1">
      <alignment vertical="center"/>
    </xf>
    <xf numFmtId="0" fontId="9" fillId="0" borderId="0" xfId="2" applyFont="1" applyAlignment="1">
      <alignment horizontal="center" vertical="center"/>
    </xf>
    <xf numFmtId="3" fontId="9" fillId="0" borderId="0" xfId="2" applyNumberFormat="1" applyFont="1" applyAlignment="1">
      <alignment horizontal="center" vertical="center"/>
    </xf>
    <xf numFmtId="3" fontId="9" fillId="0" borderId="57" xfId="2" applyNumberFormat="1" applyFont="1" applyBorder="1" applyAlignment="1">
      <alignment horizontal="center" vertical="center"/>
    </xf>
    <xf numFmtId="41" fontId="10" fillId="0" borderId="0" xfId="2" applyNumberFormat="1" applyFont="1">
      <alignment vertical="center"/>
    </xf>
    <xf numFmtId="43" fontId="20" fillId="0" borderId="29" xfId="7" applyNumberFormat="1" applyFont="1" applyFill="1" applyBorder="1" applyAlignment="1">
      <alignment horizontal="right" vertical="center"/>
    </xf>
    <xf numFmtId="43" fontId="20" fillId="0" borderId="20" xfId="7" applyNumberFormat="1" applyFont="1" applyFill="1" applyBorder="1" applyAlignment="1">
      <alignment horizontal="right" vertical="center"/>
    </xf>
    <xf numFmtId="43" fontId="20" fillId="0" borderId="37" xfId="7" applyNumberFormat="1" applyFont="1" applyFill="1" applyBorder="1" applyAlignment="1">
      <alignment horizontal="right" vertical="center"/>
    </xf>
    <xf numFmtId="0" fontId="7" fillId="0" borderId="12" xfId="6" applyFont="1" applyBorder="1">
      <alignment vertical="center"/>
    </xf>
    <xf numFmtId="0" fontId="10" fillId="0" borderId="12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0" fillId="0" borderId="14" xfId="0" applyFont="1" applyFill="1" applyBorder="1" applyAlignment="1">
      <alignment horizontal="left" vertical="center"/>
    </xf>
    <xf numFmtId="0" fontId="10" fillId="0" borderId="13" xfId="0" applyFont="1" applyFill="1" applyBorder="1" applyAlignment="1">
      <alignment horizontal="left" vertical="center"/>
    </xf>
    <xf numFmtId="0" fontId="10" fillId="0" borderId="61" xfId="0" applyFont="1" applyFill="1" applyBorder="1" applyAlignment="1">
      <alignment horizontal="left" vertical="center"/>
    </xf>
    <xf numFmtId="0" fontId="10" fillId="0" borderId="40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9" fillId="0" borderId="42" xfId="0" applyFont="1" applyFill="1" applyBorder="1" applyAlignment="1">
      <alignment horizontal="left" vertical="center"/>
    </xf>
    <xf numFmtId="0" fontId="10" fillId="0" borderId="42" xfId="0" applyFont="1" applyFill="1" applyBorder="1" applyAlignment="1">
      <alignment horizontal="left" vertical="center"/>
    </xf>
    <xf numFmtId="0" fontId="10" fillId="0" borderId="42" xfId="0" applyFont="1" applyFill="1" applyBorder="1" applyAlignment="1">
      <alignment horizontal="right" vertical="center"/>
    </xf>
    <xf numFmtId="0" fontId="7" fillId="0" borderId="42" xfId="0" applyFont="1" applyFill="1" applyBorder="1">
      <alignment vertical="center"/>
    </xf>
    <xf numFmtId="0" fontId="9" fillId="0" borderId="72" xfId="0" applyFont="1" applyFill="1" applyBorder="1" applyAlignment="1">
      <alignment horizontal="center" vertical="center"/>
    </xf>
    <xf numFmtId="0" fontId="9" fillId="0" borderId="70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3" fontId="9" fillId="0" borderId="31" xfId="0" applyNumberFormat="1" applyFont="1" applyFill="1" applyBorder="1" applyAlignment="1">
      <alignment horizontal="center" vertical="center" wrapText="1"/>
    </xf>
    <xf numFmtId="3" fontId="9" fillId="0" borderId="33" xfId="0" applyNumberFormat="1" applyFont="1" applyFill="1" applyBorder="1" applyAlignment="1">
      <alignment horizontal="center" vertical="center"/>
    </xf>
    <xf numFmtId="0" fontId="9" fillId="0" borderId="43" xfId="0" applyFont="1" applyFill="1" applyBorder="1" applyAlignment="1">
      <alignment horizontal="center" vertical="center"/>
    </xf>
    <xf numFmtId="0" fontId="9" fillId="0" borderId="56" xfId="0" applyFont="1" applyFill="1" applyBorder="1" applyAlignment="1">
      <alignment horizontal="center" vertical="center"/>
    </xf>
    <xf numFmtId="0" fontId="7" fillId="0" borderId="51" xfId="0" applyFont="1" applyFill="1" applyBorder="1">
      <alignment vertical="center"/>
    </xf>
    <xf numFmtId="0" fontId="9" fillId="0" borderId="58" xfId="0" applyFont="1" applyFill="1" applyBorder="1" applyAlignment="1">
      <alignment horizontal="center" vertical="center"/>
    </xf>
    <xf numFmtId="0" fontId="7" fillId="0" borderId="59" xfId="0" applyFont="1" applyFill="1" applyBorder="1">
      <alignment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37" xfId="0" applyFont="1" applyFill="1" applyBorder="1" applyAlignment="1">
      <alignment horizontal="center" vertical="center"/>
    </xf>
    <xf numFmtId="0" fontId="10" fillId="0" borderId="72" xfId="0" applyFont="1" applyFill="1" applyBorder="1" applyAlignment="1">
      <alignment horizontal="left" vertical="center"/>
    </xf>
    <xf numFmtId="0" fontId="10" fillId="0" borderId="70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0" fillId="0" borderId="38" xfId="0" applyFont="1" applyFill="1" applyBorder="1" applyAlignment="1">
      <alignment vertical="center" wrapText="1"/>
    </xf>
    <xf numFmtId="0" fontId="10" fillId="0" borderId="29" xfId="0" applyFont="1" applyFill="1" applyBorder="1" applyAlignment="1">
      <alignment vertical="center" wrapText="1"/>
    </xf>
    <xf numFmtId="0" fontId="10" fillId="0" borderId="27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left" vertical="center" wrapText="1"/>
    </xf>
    <xf numFmtId="0" fontId="10" fillId="0" borderId="37" xfId="0" applyFont="1" applyFill="1" applyBorder="1" applyAlignment="1">
      <alignment horizontal="left" vertical="center" wrapText="1"/>
    </xf>
    <xf numFmtId="0" fontId="10" fillId="0" borderId="31" xfId="0" applyFont="1" applyFill="1" applyBorder="1" applyAlignment="1">
      <alignment vertical="center" wrapText="1"/>
    </xf>
    <xf numFmtId="0" fontId="10" fillId="0" borderId="37" xfId="0" applyFont="1" applyFill="1" applyBorder="1" applyAlignment="1">
      <alignment vertical="center" wrapText="1"/>
    </xf>
    <xf numFmtId="3" fontId="10" fillId="0" borderId="14" xfId="2" applyNumberFormat="1" applyFont="1" applyBorder="1" applyAlignment="1">
      <alignment horizontal="left" vertical="center"/>
    </xf>
    <xf numFmtId="3" fontId="10" fillId="0" borderId="40" xfId="2" applyNumberFormat="1" applyFont="1" applyBorder="1" applyAlignment="1">
      <alignment horizontal="left" vertical="center"/>
    </xf>
    <xf numFmtId="3" fontId="10" fillId="0" borderId="53" xfId="2" applyNumberFormat="1" applyFont="1" applyBorder="1" applyAlignment="1">
      <alignment horizontal="left" vertical="center"/>
    </xf>
    <xf numFmtId="3" fontId="10" fillId="0" borderId="49" xfId="2" applyNumberFormat="1" applyFont="1" applyBorder="1" applyAlignment="1">
      <alignment horizontal="left" vertical="center"/>
    </xf>
    <xf numFmtId="3" fontId="10" fillId="0" borderId="50" xfId="2" applyNumberFormat="1" applyFont="1" applyBorder="1" applyAlignment="1">
      <alignment horizontal="left" vertical="center"/>
    </xf>
    <xf numFmtId="3" fontId="10" fillId="0" borderId="54" xfId="2" applyNumberFormat="1" applyFont="1" applyBorder="1" applyAlignment="1">
      <alignment horizontal="left" vertical="center"/>
    </xf>
    <xf numFmtId="0" fontId="11" fillId="0" borderId="67" xfId="2" applyFont="1" applyBorder="1" applyAlignment="1">
      <alignment horizontal="center" vertical="center"/>
    </xf>
    <xf numFmtId="0" fontId="11" fillId="0" borderId="66" xfId="2" applyFont="1" applyBorder="1" applyAlignment="1">
      <alignment horizontal="center" vertical="center"/>
    </xf>
    <xf numFmtId="0" fontId="11" fillId="0" borderId="51" xfId="2" applyFont="1" applyBorder="1" applyAlignment="1">
      <alignment horizontal="center" vertical="center"/>
    </xf>
    <xf numFmtId="0" fontId="10" fillId="0" borderId="62" xfId="2" applyFont="1" applyBorder="1" applyAlignment="1">
      <alignment horizontal="center" vertical="center"/>
    </xf>
    <xf numFmtId="0" fontId="10" fillId="0" borderId="44" xfId="2" applyFont="1" applyBorder="1" applyAlignment="1">
      <alignment horizontal="center" vertical="center"/>
    </xf>
    <xf numFmtId="0" fontId="10" fillId="0" borderId="28" xfId="2" applyFont="1" applyBorder="1" applyAlignment="1">
      <alignment horizontal="center" vertical="center"/>
    </xf>
    <xf numFmtId="0" fontId="9" fillId="0" borderId="45" xfId="2" applyFont="1" applyBorder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9" fillId="0" borderId="65" xfId="2" applyFont="1" applyBorder="1" applyAlignment="1">
      <alignment horizontal="left" vertical="center"/>
    </xf>
    <xf numFmtId="0" fontId="9" fillId="0" borderId="42" xfId="2" applyFont="1" applyBorder="1" applyAlignment="1">
      <alignment horizontal="left" vertical="center"/>
    </xf>
  </cellXfs>
  <cellStyles count="8">
    <cellStyle name="백분율" xfId="7" builtinId="5"/>
    <cellStyle name="쉼표 [0]" xfId="1" builtinId="6"/>
    <cellStyle name="쉼표 [0] 2" xfId="3" xr:uid="{00000000-0005-0000-0000-000002000000}"/>
    <cellStyle name="쉼표 [0] 3" xfId="4" xr:uid="{00000000-0005-0000-0000-000003000000}"/>
    <cellStyle name="표준" xfId="0" builtinId="0"/>
    <cellStyle name="표준 2" xfId="2" xr:uid="{00000000-0005-0000-0000-000005000000}"/>
    <cellStyle name="표준 3" xfId="5" xr:uid="{00000000-0005-0000-0000-000006000000}"/>
    <cellStyle name="표준 4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9"/>
  <sheetViews>
    <sheetView view="pageBreakPreview" zoomScale="70" zoomScaleNormal="100" zoomScaleSheetLayoutView="70" workbookViewId="0"/>
  </sheetViews>
  <sheetFormatPr defaultRowHeight="13.5" x14ac:dyDescent="0.15"/>
  <cols>
    <col min="1" max="1" width="121.44140625" style="34" customWidth="1"/>
    <col min="2" max="16384" width="8.88671875" style="34"/>
  </cols>
  <sheetData>
    <row r="1" spans="1:1" ht="84.75" customHeight="1" x14ac:dyDescent="0.15">
      <c r="A1" s="1"/>
    </row>
    <row r="2" spans="1:1" ht="30" customHeight="1" x14ac:dyDescent="0.15">
      <c r="A2" s="36" t="s">
        <v>149</v>
      </c>
    </row>
    <row r="3" spans="1:1" ht="30" customHeight="1" x14ac:dyDescent="0.4">
      <c r="A3" s="37" t="s">
        <v>224</v>
      </c>
    </row>
    <row r="4" spans="1:1" ht="30" customHeight="1" x14ac:dyDescent="0.15">
      <c r="A4" s="1"/>
    </row>
    <row r="5" spans="1:1" ht="30" customHeight="1" x14ac:dyDescent="0.15">
      <c r="A5" s="1"/>
    </row>
    <row r="6" spans="1:1" ht="231" customHeight="1" x14ac:dyDescent="0.3">
      <c r="A6" s="7" t="s">
        <v>235</v>
      </c>
    </row>
    <row r="7" spans="1:1" ht="217.5" customHeight="1" x14ac:dyDescent="0.15">
      <c r="A7" s="1"/>
    </row>
    <row r="8" spans="1:1" ht="30" customHeight="1" x14ac:dyDescent="0.15">
      <c r="A8" s="2" t="s">
        <v>0</v>
      </c>
    </row>
    <row r="9" spans="1:1" ht="30" customHeight="1" x14ac:dyDescent="0.15">
      <c r="A9" s="3" t="s">
        <v>73</v>
      </c>
    </row>
  </sheetData>
  <customSheetViews>
    <customSheetView guid="{29BE6789-D580-482F-AE13-9E62D887C1AB}" scale="60" showPageBreaks="1" printArea="1" view="pageBreakPreview">
      <selection activeCell="A8" sqref="A8:A9"/>
      <pageMargins left="0.74803149606299213" right="0.74803149606299213" top="0.98425196850393704" bottom="0.98425196850393704" header="0.51181102362204722" footer="0.51181102362204722"/>
      <pageSetup paperSize="9" scale="80" firstPageNumber="183" orientation="portrait" useFirstPageNumber="1" r:id="rId1"/>
      <headerFooter alignWithMargins="0"/>
    </customSheetView>
  </customSheetViews>
  <phoneticPr fontId="2" type="noConversion"/>
  <pageMargins left="0.94488188976377963" right="0.74803149606299213" top="0.98425196850393704" bottom="0.98425196850393704" header="0.51181102362204722" footer="0.51181102362204722"/>
  <pageSetup paperSize="9" scale="60" firstPageNumber="183" orientation="portrait" useFirstPageNumber="1" r:id="rId2"/>
  <headerFooter alignWithMargins="0">
    <oddFooter xml:space="preserve">&amp;R참좋은기억학교(2023. 9. 7.)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21"/>
  <sheetViews>
    <sheetView view="pageBreakPreview" zoomScaleNormal="100" zoomScaleSheetLayoutView="100" workbookViewId="0"/>
  </sheetViews>
  <sheetFormatPr defaultRowHeight="13.5" x14ac:dyDescent="0.15"/>
  <cols>
    <col min="1" max="1" width="79.6640625" style="34" customWidth="1"/>
    <col min="2" max="2" width="9.5546875" style="34" bestFit="1" customWidth="1"/>
    <col min="3" max="16384" width="8.88671875" style="34"/>
  </cols>
  <sheetData>
    <row r="1" spans="1:2" ht="30" customHeight="1" x14ac:dyDescent="0.3">
      <c r="A1" s="38" t="s">
        <v>11</v>
      </c>
    </row>
    <row r="2" spans="1:2" ht="30" customHeight="1" x14ac:dyDescent="0.15">
      <c r="A2" s="39"/>
    </row>
    <row r="3" spans="1:2" ht="30" customHeight="1" x14ac:dyDescent="0.15">
      <c r="A3" s="40" t="s">
        <v>213</v>
      </c>
    </row>
    <row r="4" spans="1:2" ht="30" customHeight="1" x14ac:dyDescent="0.15">
      <c r="A4" s="40"/>
    </row>
    <row r="5" spans="1:2" ht="30" customHeight="1" x14ac:dyDescent="0.15">
      <c r="A5" s="40" t="s">
        <v>254</v>
      </c>
      <c r="B5" s="55"/>
    </row>
    <row r="6" spans="1:2" ht="30" customHeight="1" x14ac:dyDescent="0.15">
      <c r="A6" s="40"/>
    </row>
    <row r="7" spans="1:2" ht="30" customHeight="1" x14ac:dyDescent="0.15">
      <c r="A7" s="40" t="s">
        <v>127</v>
      </c>
    </row>
    <row r="8" spans="1:2" ht="30" customHeight="1" x14ac:dyDescent="0.15">
      <c r="A8" s="40"/>
    </row>
    <row r="9" spans="1:2" ht="30" customHeight="1" x14ac:dyDescent="0.15">
      <c r="A9" s="56" t="s">
        <v>100</v>
      </c>
    </row>
    <row r="10" spans="1:2" ht="30" customHeight="1" x14ac:dyDescent="0.15">
      <c r="A10" s="40"/>
    </row>
    <row r="11" spans="1:2" ht="30" customHeight="1" x14ac:dyDescent="0.15">
      <c r="A11" s="39" t="s">
        <v>107</v>
      </c>
    </row>
    <row r="12" spans="1:2" ht="30" customHeight="1" x14ac:dyDescent="0.15">
      <c r="A12" s="39" t="s">
        <v>108</v>
      </c>
    </row>
    <row r="13" spans="1:2" ht="30" customHeight="1" x14ac:dyDescent="0.15">
      <c r="A13" s="39"/>
    </row>
    <row r="14" spans="1:2" ht="30" customHeight="1" x14ac:dyDescent="0.15">
      <c r="A14" s="39" t="s">
        <v>97</v>
      </c>
    </row>
    <row r="15" spans="1:2" ht="30" customHeight="1" x14ac:dyDescent="0.15">
      <c r="A15" s="39" t="s">
        <v>101</v>
      </c>
    </row>
    <row r="16" spans="1:2" ht="30" customHeight="1" x14ac:dyDescent="0.15">
      <c r="A16" s="39"/>
    </row>
    <row r="17" spans="1:1" ht="30" customHeight="1" x14ac:dyDescent="0.15">
      <c r="A17" s="39" t="s">
        <v>109</v>
      </c>
    </row>
    <row r="18" spans="1:1" ht="30" customHeight="1" x14ac:dyDescent="0.15">
      <c r="A18" s="39" t="s">
        <v>98</v>
      </c>
    </row>
    <row r="19" spans="1:1" ht="14.25" x14ac:dyDescent="0.15">
      <c r="A19" s="39"/>
    </row>
    <row r="20" spans="1:1" ht="14.25" x14ac:dyDescent="0.15">
      <c r="A20" s="39"/>
    </row>
    <row r="21" spans="1:1" ht="20.25" x14ac:dyDescent="0.25">
      <c r="A21" s="41"/>
    </row>
  </sheetData>
  <customSheetViews>
    <customSheetView guid="{29BE6789-D580-482F-AE13-9E62D887C1AB}" showPageBreaks="1" view="pageBreakPreview">
      <selection activeCell="A5" sqref="A5"/>
      <pageMargins left="0.94488188976377963" right="0.74803149606299213" top="0.98425196850393704" bottom="0.98425196850393704" header="0.51181102362204722" footer="0.51181102362204722"/>
      <pageSetup paperSize="9" scale="80" firstPageNumber="183" orientation="portrait" useFirstPageNumber="1" r:id="rId1"/>
      <headerFooter alignWithMargins="0">
        <oddFooter xml:space="preserve">&amp;R참좋은 기억학교(2022.02.14)
</oddFooter>
      </headerFooter>
    </customSheetView>
  </customSheetViews>
  <phoneticPr fontId="2" type="noConversion"/>
  <pageMargins left="0.7" right="0.7" top="0.75" bottom="0.75" header="0.3" footer="0.3"/>
  <pageSetup paperSize="9" scale="85" firstPageNumber="183" orientation="portrait" useFirstPageNumber="1" r:id="rId2"/>
  <headerFooter alignWithMargins="0">
    <oddFooter xml:space="preserve">&amp;R참좋은기억학교(2023. 9. 7.)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5"/>
  <sheetViews>
    <sheetView view="pageBreakPreview" zoomScaleNormal="100" zoomScaleSheetLayoutView="100" workbookViewId="0">
      <selection activeCell="F19" sqref="F19"/>
    </sheetView>
  </sheetViews>
  <sheetFormatPr defaultRowHeight="13.5" x14ac:dyDescent="0.15"/>
  <cols>
    <col min="1" max="1" width="14.88671875" style="6" customWidth="1"/>
    <col min="2" max="2" width="15.88671875" style="6" customWidth="1"/>
    <col min="3" max="5" width="13.77734375" style="6" customWidth="1"/>
    <col min="6" max="7" width="11.77734375" bestFit="1" customWidth="1"/>
  </cols>
  <sheetData>
    <row r="1" spans="1:7" ht="39" customHeight="1" x14ac:dyDescent="0.15">
      <c r="A1" s="284" t="s">
        <v>214</v>
      </c>
      <c r="B1" s="284"/>
      <c r="C1" s="284"/>
      <c r="D1" s="284"/>
      <c r="E1" s="284"/>
    </row>
    <row r="2" spans="1:7" ht="18" customHeight="1" x14ac:dyDescent="0.15">
      <c r="A2" s="4"/>
      <c r="B2" s="4"/>
      <c r="C2" s="4"/>
      <c r="D2" s="4"/>
      <c r="E2" s="32" t="s">
        <v>83</v>
      </c>
    </row>
    <row r="3" spans="1:7" ht="21" customHeight="1" x14ac:dyDescent="0.15">
      <c r="A3" s="285" t="s">
        <v>1</v>
      </c>
      <c r="B3" s="286"/>
      <c r="C3" s="286"/>
      <c r="D3" s="286"/>
      <c r="E3" s="287"/>
    </row>
    <row r="4" spans="1:7" ht="21" customHeight="1" thickBot="1" x14ac:dyDescent="0.2">
      <c r="A4" s="8" t="s">
        <v>2</v>
      </c>
      <c r="B4" s="9" t="s">
        <v>3</v>
      </c>
      <c r="C4" s="52" t="s">
        <v>215</v>
      </c>
      <c r="D4" s="52" t="s">
        <v>216</v>
      </c>
      <c r="E4" s="10" t="s">
        <v>4</v>
      </c>
    </row>
    <row r="5" spans="1:7" ht="21" customHeight="1" thickTop="1" x14ac:dyDescent="0.15">
      <c r="A5" s="288" t="s">
        <v>5</v>
      </c>
      <c r="B5" s="289"/>
      <c r="C5" s="11">
        <f>C6+C7+C8+C9+C10+C11</f>
        <v>444800000</v>
      </c>
      <c r="D5" s="11">
        <f>D6+D7+D8+D9+D10+D11</f>
        <v>449100000</v>
      </c>
      <c r="E5" s="12">
        <f>E6+E7+E8+E9+E10+E11</f>
        <v>4300000</v>
      </c>
      <c r="G5" s="80"/>
    </row>
    <row r="6" spans="1:7" ht="21" customHeight="1" x14ac:dyDescent="0.15">
      <c r="A6" s="110" t="s">
        <v>74</v>
      </c>
      <c r="B6" s="13" t="s">
        <v>75</v>
      </c>
      <c r="C6" s="14">
        <f>'2차추경예산내역-세입'!D7</f>
        <v>52080000</v>
      </c>
      <c r="D6" s="14">
        <f>'2차추경예산내역-세입'!E7</f>
        <v>55800000</v>
      </c>
      <c r="E6" s="15">
        <f t="shared" ref="E6:E11" si="0">D6-C6</f>
        <v>3720000</v>
      </c>
      <c r="G6" s="80"/>
    </row>
    <row r="7" spans="1:7" ht="21" customHeight="1" x14ac:dyDescent="0.15">
      <c r="A7" s="16" t="s">
        <v>76</v>
      </c>
      <c r="B7" s="13" t="s">
        <v>77</v>
      </c>
      <c r="C7" s="14">
        <f>'2차추경예산내역-세입'!D11</f>
        <v>370064348</v>
      </c>
      <c r="D7" s="14">
        <f>'2차추경예산내역-세입'!E11</f>
        <v>370182182</v>
      </c>
      <c r="E7" s="15">
        <f t="shared" si="0"/>
        <v>117834</v>
      </c>
    </row>
    <row r="8" spans="1:7" ht="21" customHeight="1" x14ac:dyDescent="0.15">
      <c r="A8" s="111" t="s">
        <v>79</v>
      </c>
      <c r="B8" s="13" t="s">
        <v>78</v>
      </c>
      <c r="C8" s="14">
        <f>'2차추경예산내역-세입'!D18</f>
        <v>900000</v>
      </c>
      <c r="D8" s="14">
        <f>'2차추경예산내역-세입'!E18</f>
        <v>1350000</v>
      </c>
      <c r="E8" s="15">
        <f t="shared" si="0"/>
        <v>450000</v>
      </c>
    </row>
    <row r="9" spans="1:7" ht="21" customHeight="1" x14ac:dyDescent="0.15">
      <c r="A9" s="16" t="s">
        <v>80</v>
      </c>
      <c r="B9" s="13" t="s">
        <v>80</v>
      </c>
      <c r="C9" s="14">
        <f>'2차추경예산내역-세입'!D24</f>
        <v>0</v>
      </c>
      <c r="D9" s="14">
        <f>'2차추경예산내역-세입'!E24</f>
        <v>0</v>
      </c>
      <c r="E9" s="15">
        <f t="shared" si="0"/>
        <v>0</v>
      </c>
    </row>
    <row r="10" spans="1:7" ht="21" customHeight="1" x14ac:dyDescent="0.15">
      <c r="A10" s="17" t="s">
        <v>81</v>
      </c>
      <c r="B10" s="18" t="s">
        <v>81</v>
      </c>
      <c r="C10" s="19">
        <f>'2차추경예산내역-세입'!D27</f>
        <v>7891289</v>
      </c>
      <c r="D10" s="19">
        <f>'2차추경예산내역-세입'!E27</f>
        <v>7903455</v>
      </c>
      <c r="E10" s="20">
        <f t="shared" si="0"/>
        <v>12166</v>
      </c>
    </row>
    <row r="11" spans="1:7" ht="21" customHeight="1" x14ac:dyDescent="0.15">
      <c r="A11" s="21" t="s">
        <v>82</v>
      </c>
      <c r="B11" s="22" t="s">
        <v>82</v>
      </c>
      <c r="C11" s="23">
        <f>'2차추경예산내역-세입'!D35</f>
        <v>13864363</v>
      </c>
      <c r="D11" s="23">
        <f>'2차추경예산내역-세입'!E35</f>
        <v>13864363</v>
      </c>
      <c r="E11" s="24">
        <f t="shared" si="0"/>
        <v>0</v>
      </c>
    </row>
    <row r="12" spans="1:7" ht="21" customHeight="1" x14ac:dyDescent="0.15">
      <c r="A12" s="121"/>
      <c r="B12" s="121"/>
      <c r="C12" s="122"/>
      <c r="D12" s="123"/>
      <c r="E12" s="124"/>
    </row>
    <row r="13" spans="1:7" ht="21" customHeight="1" x14ac:dyDescent="0.15">
      <c r="A13" s="125"/>
      <c r="B13" s="125"/>
      <c r="C13" s="125"/>
      <c r="D13" s="125"/>
      <c r="E13" s="31" t="s">
        <v>83</v>
      </c>
    </row>
    <row r="14" spans="1:7" ht="21" customHeight="1" x14ac:dyDescent="0.15">
      <c r="A14" s="285" t="s">
        <v>6</v>
      </c>
      <c r="B14" s="286"/>
      <c r="C14" s="286"/>
      <c r="D14" s="286"/>
      <c r="E14" s="287"/>
    </row>
    <row r="15" spans="1:7" ht="21" customHeight="1" thickBot="1" x14ac:dyDescent="0.2">
      <c r="A15" s="8" t="s">
        <v>7</v>
      </c>
      <c r="B15" s="9" t="s">
        <v>8</v>
      </c>
      <c r="C15" s="52" t="s">
        <v>215</v>
      </c>
      <c r="D15" s="52" t="s">
        <v>216</v>
      </c>
      <c r="E15" s="10" t="s">
        <v>9</v>
      </c>
    </row>
    <row r="16" spans="1:7" ht="21" customHeight="1" thickTop="1" x14ac:dyDescent="0.15">
      <c r="A16" s="25" t="s">
        <v>10</v>
      </c>
      <c r="B16" s="26"/>
      <c r="C16" s="11">
        <f>SUM(C17:C24)</f>
        <v>444800000.47373056</v>
      </c>
      <c r="D16" s="11">
        <f>SUM(D17:D24)</f>
        <v>449100000.27733749</v>
      </c>
      <c r="E16" s="27">
        <f t="shared" ref="E16:E24" si="1">D16-C16</f>
        <v>4299999.8036069274</v>
      </c>
      <c r="F16" s="80"/>
    </row>
    <row r="17" spans="1:6" ht="21" customHeight="1" x14ac:dyDescent="0.15">
      <c r="A17" s="281" t="s">
        <v>84</v>
      </c>
      <c r="B17" s="28" t="s">
        <v>85</v>
      </c>
      <c r="C17" s="29">
        <f>'2차추경예산내역-세출'!D8</f>
        <v>348064348.47373056</v>
      </c>
      <c r="D17" s="29">
        <f>'2차추경예산내역-세출'!E8</f>
        <v>348182182.27733749</v>
      </c>
      <c r="E17" s="42">
        <f t="shared" si="1"/>
        <v>117833.80360692739</v>
      </c>
      <c r="F17" s="80"/>
    </row>
    <row r="18" spans="1:6" ht="21" customHeight="1" x14ac:dyDescent="0.15">
      <c r="A18" s="282"/>
      <c r="B18" s="13" t="s">
        <v>87</v>
      </c>
      <c r="C18" s="30">
        <f>'2차추경예산내역-세출'!D50</f>
        <v>1440000</v>
      </c>
      <c r="D18" s="30">
        <f>'2차추경예산내역-세출'!E50</f>
        <v>1640000</v>
      </c>
      <c r="E18" s="43">
        <f t="shared" si="1"/>
        <v>200000</v>
      </c>
      <c r="F18" s="80"/>
    </row>
    <row r="19" spans="1:6" ht="21" customHeight="1" x14ac:dyDescent="0.15">
      <c r="A19" s="283"/>
      <c r="B19" s="13" t="s">
        <v>86</v>
      </c>
      <c r="C19" s="30">
        <f>'2차추경예산내역-세출'!D55</f>
        <v>45499200</v>
      </c>
      <c r="D19" s="30">
        <f>'2차추경예산내역-세출'!E55</f>
        <v>48349200</v>
      </c>
      <c r="E19" s="43">
        <f t="shared" si="1"/>
        <v>2850000</v>
      </c>
    </row>
    <row r="20" spans="1:6" ht="21" customHeight="1" x14ac:dyDescent="0.15">
      <c r="A20" s="16" t="s">
        <v>88</v>
      </c>
      <c r="B20" s="13" t="s">
        <v>89</v>
      </c>
      <c r="C20" s="30">
        <f>'2차추경예산내역-세출'!D82</f>
        <v>4709996</v>
      </c>
      <c r="D20" s="30">
        <f>'2차추경예산내역-세출'!E82</f>
        <v>5059996</v>
      </c>
      <c r="E20" s="43">
        <f t="shared" si="1"/>
        <v>350000</v>
      </c>
    </row>
    <row r="21" spans="1:6" ht="21" customHeight="1" x14ac:dyDescent="0.15">
      <c r="A21" s="281" t="s">
        <v>90</v>
      </c>
      <c r="B21" s="13" t="s">
        <v>86</v>
      </c>
      <c r="C21" s="30">
        <f>'2차추경예산내역-세출'!D92</f>
        <v>26008000</v>
      </c>
      <c r="D21" s="30">
        <f>'2차추경예산내역-세출'!E92</f>
        <v>26508000</v>
      </c>
      <c r="E21" s="43">
        <f t="shared" si="1"/>
        <v>500000</v>
      </c>
    </row>
    <row r="22" spans="1:6" ht="21" customHeight="1" x14ac:dyDescent="0.15">
      <c r="A22" s="282"/>
      <c r="B22" s="13" t="s">
        <v>90</v>
      </c>
      <c r="C22" s="30">
        <f>'2차추경예산내역-세출'!D98</f>
        <v>10610000</v>
      </c>
      <c r="D22" s="30">
        <f>'2차추경예산내역-세출'!E98</f>
        <v>10690000</v>
      </c>
      <c r="E22" s="43">
        <f t="shared" si="1"/>
        <v>80000</v>
      </c>
    </row>
    <row r="23" spans="1:6" ht="21" customHeight="1" x14ac:dyDescent="0.15">
      <c r="A23" s="283"/>
      <c r="B23" s="13" t="s">
        <v>92</v>
      </c>
      <c r="C23" s="30">
        <f>'2차추경예산내역-세출'!D129</f>
        <v>8423000</v>
      </c>
      <c r="D23" s="30">
        <f>'2차추경예산내역-세출'!E129</f>
        <v>8623000</v>
      </c>
      <c r="E23" s="43">
        <f t="shared" si="1"/>
        <v>200000</v>
      </c>
    </row>
    <row r="24" spans="1:6" ht="21" customHeight="1" x14ac:dyDescent="0.15">
      <c r="A24" s="21" t="s">
        <v>91</v>
      </c>
      <c r="B24" s="22" t="s">
        <v>91</v>
      </c>
      <c r="C24" s="23">
        <f>'2차추경예산내역-세출'!D143</f>
        <v>45456</v>
      </c>
      <c r="D24" s="23">
        <f>'2차추경예산내역-세출'!E143</f>
        <v>47622</v>
      </c>
      <c r="E24" s="33">
        <f t="shared" si="1"/>
        <v>2166</v>
      </c>
    </row>
    <row r="25" spans="1:6" x14ac:dyDescent="0.15">
      <c r="A25" s="5"/>
      <c r="B25" s="5"/>
    </row>
  </sheetData>
  <customSheetViews>
    <customSheetView guid="{29BE6789-D580-482F-AE13-9E62D887C1AB}" showPageBreaks="1" printArea="1" view="pageBreakPreview">
      <selection activeCell="C16" sqref="C16"/>
      <pageMargins left="0.94488188976377963" right="0.74803149606299213" top="0.98425196850393704" bottom="0.98425196850393704" header="0.51181102362204722" footer="0.51181102362204722"/>
      <pageSetup paperSize="9" firstPageNumber="185" orientation="portrait" useFirstPageNumber="1" r:id="rId1"/>
      <headerFooter alignWithMargins="0">
        <oddFooter xml:space="preserve">&amp;R참좋은 기억학교(2022.02.14)
</oddFooter>
      </headerFooter>
    </customSheetView>
  </customSheetViews>
  <mergeCells count="6">
    <mergeCell ref="A17:A19"/>
    <mergeCell ref="A21:A23"/>
    <mergeCell ref="A1:E1"/>
    <mergeCell ref="A3:E3"/>
    <mergeCell ref="A5:B5"/>
    <mergeCell ref="A14:E14"/>
  </mergeCells>
  <phoneticPr fontId="2" type="noConversion"/>
  <pageMargins left="0.94488188976377963" right="0.74803149606299213" top="0.98425196850393704" bottom="0.98425196850393704" header="0.51181102362204722" footer="0.51181102362204722"/>
  <pageSetup paperSize="9" firstPageNumber="185" orientation="portrait" useFirstPageNumber="1" r:id="rId2"/>
  <headerFooter alignWithMargins="0">
    <oddFooter xml:space="preserve">&amp;R참좋은기억학교(2023. 9. 7.)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1"/>
  <sheetViews>
    <sheetView view="pageBreakPreview" zoomScaleNormal="100" zoomScaleSheetLayoutView="100" workbookViewId="0">
      <selection activeCell="F16" sqref="F16"/>
    </sheetView>
  </sheetViews>
  <sheetFormatPr defaultRowHeight="13.5" x14ac:dyDescent="0.15"/>
  <cols>
    <col min="1" max="1" width="9.44140625" style="105" customWidth="1"/>
    <col min="2" max="2" width="10.21875" style="105" customWidth="1"/>
    <col min="3" max="3" width="12.6640625" style="105" customWidth="1"/>
    <col min="4" max="4" width="12.6640625" style="100" customWidth="1"/>
    <col min="5" max="5" width="13" style="100" customWidth="1"/>
    <col min="6" max="6" width="11.77734375" style="100" customWidth="1"/>
    <col min="7" max="7" width="10.109375" style="104" customWidth="1"/>
    <col min="8" max="8" width="40.33203125" style="105" customWidth="1"/>
    <col min="9" max="9" width="14" style="170" bestFit="1" customWidth="1"/>
    <col min="10" max="10" width="11.44140625" style="105" bestFit="1" customWidth="1"/>
    <col min="11" max="11" width="14" style="171" bestFit="1" customWidth="1"/>
    <col min="12" max="12" width="12.44140625" style="105" bestFit="1" customWidth="1"/>
    <col min="13" max="13" width="10.44140625" style="105" bestFit="1" customWidth="1"/>
    <col min="14" max="16384" width="8.88671875" style="105"/>
  </cols>
  <sheetData>
    <row r="1" spans="1:13" ht="20.100000000000001" customHeight="1" x14ac:dyDescent="0.15">
      <c r="A1" s="294" t="s">
        <v>217</v>
      </c>
      <c r="B1" s="294"/>
      <c r="C1" s="294"/>
      <c r="D1" s="294"/>
      <c r="E1" s="294"/>
      <c r="F1" s="294"/>
      <c r="G1" s="294"/>
      <c r="H1" s="294"/>
      <c r="I1" s="170" t="s">
        <v>193</v>
      </c>
    </row>
    <row r="2" spans="1:13" ht="20.100000000000001" customHeight="1" x14ac:dyDescent="0.15">
      <c r="A2" s="102"/>
      <c r="B2" s="102"/>
      <c r="C2" s="102"/>
      <c r="D2" s="99"/>
      <c r="E2" s="99"/>
      <c r="F2" s="99"/>
      <c r="G2" s="102"/>
      <c r="H2" s="103"/>
    </row>
    <row r="3" spans="1:13" ht="20.100000000000001" customHeight="1" x14ac:dyDescent="0.15">
      <c r="A3" s="295" t="s">
        <v>126</v>
      </c>
      <c r="B3" s="296"/>
      <c r="C3" s="296"/>
      <c r="D3" s="127"/>
      <c r="E3" s="126"/>
      <c r="F3" s="127"/>
      <c r="G3" s="128"/>
      <c r="H3" s="297" t="s">
        <v>12</v>
      </c>
      <c r="I3" s="298"/>
    </row>
    <row r="4" spans="1:13" ht="20.100000000000001" customHeight="1" x14ac:dyDescent="0.15">
      <c r="A4" s="299" t="s">
        <v>13</v>
      </c>
      <c r="B4" s="300"/>
      <c r="C4" s="301"/>
      <c r="D4" s="302" t="s">
        <v>222</v>
      </c>
      <c r="E4" s="302" t="s">
        <v>223</v>
      </c>
      <c r="F4" s="304" t="s">
        <v>4</v>
      </c>
      <c r="G4" s="304"/>
      <c r="H4" s="305" t="s">
        <v>14</v>
      </c>
      <c r="I4" s="306"/>
    </row>
    <row r="5" spans="1:13" ht="22.5" customHeight="1" thickBot="1" x14ac:dyDescent="0.2">
      <c r="A5" s="172" t="s">
        <v>15</v>
      </c>
      <c r="B5" s="173" t="s">
        <v>16</v>
      </c>
      <c r="C5" s="173" t="s">
        <v>17</v>
      </c>
      <c r="D5" s="303"/>
      <c r="E5" s="303"/>
      <c r="F5" s="129" t="s">
        <v>18</v>
      </c>
      <c r="G5" s="130" t="s">
        <v>19</v>
      </c>
      <c r="H5" s="307"/>
      <c r="I5" s="308"/>
    </row>
    <row r="6" spans="1:13" ht="20.100000000000001" customHeight="1" thickTop="1" x14ac:dyDescent="0.15">
      <c r="A6" s="309" t="s">
        <v>20</v>
      </c>
      <c r="B6" s="310"/>
      <c r="C6" s="311"/>
      <c r="D6" s="131">
        <v>444800000</v>
      </c>
      <c r="E6" s="131">
        <f>E7+E11+E27+E35+E24+E18</f>
        <v>449100000</v>
      </c>
      <c r="F6" s="132">
        <f>E6-D6</f>
        <v>4300000</v>
      </c>
      <c r="G6" s="133">
        <f>E6/D6*100</f>
        <v>100.96672661870502</v>
      </c>
      <c r="H6" s="134"/>
      <c r="I6" s="174"/>
      <c r="J6" s="100"/>
    </row>
    <row r="7" spans="1:13" ht="20.100000000000001" customHeight="1" x14ac:dyDescent="0.15">
      <c r="A7" s="292" t="s">
        <v>30</v>
      </c>
      <c r="B7" s="293"/>
      <c r="C7" s="291"/>
      <c r="D7" s="135">
        <v>52080000</v>
      </c>
      <c r="E7" s="135">
        <f>I10</f>
        <v>55800000</v>
      </c>
      <c r="F7" s="132">
        <f t="shared" ref="F7:F37" si="0">E7-D7</f>
        <v>3720000</v>
      </c>
      <c r="G7" s="133">
        <f>E7/D7*100</f>
        <v>107.14285714285714</v>
      </c>
      <c r="H7" s="136" t="s">
        <v>31</v>
      </c>
      <c r="I7" s="175"/>
    </row>
    <row r="8" spans="1:13" ht="20.100000000000001" customHeight="1" x14ac:dyDescent="0.15">
      <c r="A8" s="312"/>
      <c r="B8" s="290" t="s">
        <v>31</v>
      </c>
      <c r="C8" s="291"/>
      <c r="D8" s="137">
        <v>52080000</v>
      </c>
      <c r="E8" s="137">
        <f>E9</f>
        <v>55800000</v>
      </c>
      <c r="F8" s="138">
        <f t="shared" si="0"/>
        <v>3720000</v>
      </c>
      <c r="G8" s="139">
        <f t="shared" ref="G8:G37" si="1">E8/D8*100</f>
        <v>107.14285714285714</v>
      </c>
      <c r="H8" s="136" t="s">
        <v>31</v>
      </c>
      <c r="I8" s="175"/>
      <c r="J8" s="100"/>
    </row>
    <row r="9" spans="1:13" ht="20.100000000000001" customHeight="1" x14ac:dyDescent="0.15">
      <c r="A9" s="312"/>
      <c r="B9" s="313"/>
      <c r="C9" s="176" t="s">
        <v>31</v>
      </c>
      <c r="D9" s="140">
        <v>52080000</v>
      </c>
      <c r="E9" s="140">
        <f>I10</f>
        <v>55800000</v>
      </c>
      <c r="F9" s="149">
        <f t="shared" si="0"/>
        <v>3720000</v>
      </c>
      <c r="G9" s="141">
        <f t="shared" si="1"/>
        <v>107.14285714285714</v>
      </c>
      <c r="H9" s="142" t="s">
        <v>31</v>
      </c>
      <c r="I9" s="177"/>
    </row>
    <row r="10" spans="1:13" ht="20.100000000000001" customHeight="1" x14ac:dyDescent="0.15">
      <c r="A10" s="312"/>
      <c r="B10" s="313"/>
      <c r="C10" s="178"/>
      <c r="D10" s="143"/>
      <c r="E10" s="143"/>
      <c r="F10" s="144"/>
      <c r="G10" s="145"/>
      <c r="H10" s="152" t="s">
        <v>252</v>
      </c>
      <c r="I10" s="179">
        <f>10000*22.5*248</f>
        <v>55800000</v>
      </c>
    </row>
    <row r="11" spans="1:13" ht="20.100000000000001" customHeight="1" x14ac:dyDescent="0.15">
      <c r="A11" s="292" t="s">
        <v>32</v>
      </c>
      <c r="B11" s="293"/>
      <c r="C11" s="291"/>
      <c r="D11" s="146">
        <v>370064348</v>
      </c>
      <c r="E11" s="146">
        <f>E12</f>
        <v>370182182</v>
      </c>
      <c r="F11" s="135">
        <f t="shared" si="0"/>
        <v>117834</v>
      </c>
      <c r="G11" s="147">
        <f t="shared" si="1"/>
        <v>100.03184148936172</v>
      </c>
      <c r="H11" s="136" t="s">
        <v>32</v>
      </c>
      <c r="I11" s="175"/>
      <c r="J11" s="100"/>
    </row>
    <row r="12" spans="1:13" ht="20.100000000000001" customHeight="1" x14ac:dyDescent="0.15">
      <c r="A12" s="180"/>
      <c r="B12" s="290" t="s">
        <v>32</v>
      </c>
      <c r="C12" s="291"/>
      <c r="D12" s="140">
        <v>370064348</v>
      </c>
      <c r="E12" s="140">
        <f>SUM(E13:E17)</f>
        <v>370182182</v>
      </c>
      <c r="F12" s="138">
        <f t="shared" si="0"/>
        <v>117834</v>
      </c>
      <c r="G12" s="139">
        <f t="shared" si="1"/>
        <v>100.03184148936172</v>
      </c>
      <c r="H12" s="136" t="s">
        <v>38</v>
      </c>
      <c r="I12" s="175"/>
    </row>
    <row r="13" spans="1:13" ht="20.100000000000001" customHeight="1" x14ac:dyDescent="0.15">
      <c r="A13" s="180" t="s">
        <v>137</v>
      </c>
      <c r="B13" s="181"/>
      <c r="C13" s="182" t="s">
        <v>116</v>
      </c>
      <c r="D13" s="148">
        <v>0</v>
      </c>
      <c r="E13" s="148">
        <v>0</v>
      </c>
      <c r="F13" s="137">
        <f t="shared" si="0"/>
        <v>0</v>
      </c>
      <c r="G13" s="139">
        <v>0</v>
      </c>
      <c r="H13" s="136" t="s">
        <v>115</v>
      </c>
      <c r="I13" s="175"/>
      <c r="M13" s="104"/>
    </row>
    <row r="14" spans="1:13" ht="20.100000000000001" customHeight="1" x14ac:dyDescent="0.15">
      <c r="A14" s="180"/>
      <c r="B14" s="181"/>
      <c r="C14" s="176" t="s">
        <v>117</v>
      </c>
      <c r="D14" s="140">
        <v>0</v>
      </c>
      <c r="E14" s="140">
        <v>0</v>
      </c>
      <c r="F14" s="149">
        <f t="shared" si="0"/>
        <v>0</v>
      </c>
      <c r="G14" s="139">
        <v>0</v>
      </c>
      <c r="H14" s="136" t="s">
        <v>169</v>
      </c>
      <c r="I14" s="175"/>
      <c r="L14" s="104"/>
    </row>
    <row r="15" spans="1:13" ht="20.100000000000001" customHeight="1" x14ac:dyDescent="0.15">
      <c r="A15" s="180"/>
      <c r="B15" s="181"/>
      <c r="C15" s="176" t="s">
        <v>118</v>
      </c>
      <c r="D15" s="140">
        <v>370064348</v>
      </c>
      <c r="E15" s="140">
        <f>I16+I17</f>
        <v>370182182</v>
      </c>
      <c r="F15" s="149">
        <f t="shared" si="0"/>
        <v>117834</v>
      </c>
      <c r="G15" s="150">
        <f t="shared" si="1"/>
        <v>100.03184148936172</v>
      </c>
      <c r="H15" s="142" t="s">
        <v>114</v>
      </c>
      <c r="I15" s="177"/>
    </row>
    <row r="16" spans="1:13" ht="20.100000000000001" customHeight="1" x14ac:dyDescent="0.15">
      <c r="A16" s="180"/>
      <c r="B16" s="181"/>
      <c r="C16" s="178"/>
      <c r="D16" s="143"/>
      <c r="E16" s="143"/>
      <c r="F16" s="144"/>
      <c r="G16" s="151"/>
      <c r="H16" s="152" t="s">
        <v>251</v>
      </c>
      <c r="I16" s="179">
        <f>87045545.5*4</f>
        <v>348182182</v>
      </c>
      <c r="J16" s="171"/>
      <c r="L16" s="100"/>
    </row>
    <row r="17" spans="1:12" ht="20.100000000000001" customHeight="1" x14ac:dyDescent="0.15">
      <c r="A17" s="180"/>
      <c r="B17" s="181"/>
      <c r="C17" s="178"/>
      <c r="D17" s="143"/>
      <c r="E17" s="143"/>
      <c r="F17" s="144"/>
      <c r="G17" s="150"/>
      <c r="H17" s="152" t="s">
        <v>167</v>
      </c>
      <c r="I17" s="179">
        <f>5500000*4</f>
        <v>22000000</v>
      </c>
      <c r="J17" s="171"/>
      <c r="L17" s="100"/>
    </row>
    <row r="18" spans="1:12" ht="20.100000000000001" customHeight="1" x14ac:dyDescent="0.15">
      <c r="A18" s="292" t="s">
        <v>33</v>
      </c>
      <c r="B18" s="293"/>
      <c r="C18" s="291"/>
      <c r="D18" s="146">
        <v>900000</v>
      </c>
      <c r="E18" s="146">
        <f>E19</f>
        <v>1350000</v>
      </c>
      <c r="F18" s="135">
        <f t="shared" ref="F18:F31" si="2">E18-D18</f>
        <v>450000</v>
      </c>
      <c r="G18" s="147">
        <v>0</v>
      </c>
      <c r="H18" s="136" t="s">
        <v>33</v>
      </c>
      <c r="I18" s="175"/>
      <c r="L18" s="104"/>
    </row>
    <row r="19" spans="1:12" ht="20.100000000000001" customHeight="1" x14ac:dyDescent="0.15">
      <c r="A19" s="180"/>
      <c r="B19" s="290" t="s">
        <v>33</v>
      </c>
      <c r="C19" s="291"/>
      <c r="D19" s="148">
        <v>900000</v>
      </c>
      <c r="E19" s="148">
        <f>SUM(E20:E23)</f>
        <v>1350000</v>
      </c>
      <c r="F19" s="138">
        <f t="shared" si="2"/>
        <v>450000</v>
      </c>
      <c r="G19" s="139">
        <v>0</v>
      </c>
      <c r="H19" s="136" t="s">
        <v>33</v>
      </c>
      <c r="I19" s="175"/>
      <c r="L19" s="104"/>
    </row>
    <row r="20" spans="1:12" ht="20.100000000000001" customHeight="1" x14ac:dyDescent="0.15">
      <c r="A20" s="180"/>
      <c r="B20" s="183"/>
      <c r="C20" s="182" t="s">
        <v>34</v>
      </c>
      <c r="D20" s="148">
        <v>0</v>
      </c>
      <c r="E20" s="140">
        <f>I21</f>
        <v>450000</v>
      </c>
      <c r="F20" s="138">
        <f t="shared" ref="F20" si="3">E20-D20</f>
        <v>450000</v>
      </c>
      <c r="G20" s="139">
        <v>0</v>
      </c>
      <c r="H20" s="136" t="s">
        <v>34</v>
      </c>
      <c r="I20" s="175"/>
      <c r="L20" s="104"/>
    </row>
    <row r="21" spans="1:12" ht="20.100000000000001" customHeight="1" x14ac:dyDescent="0.15">
      <c r="A21" s="180"/>
      <c r="B21" s="181"/>
      <c r="C21" s="182"/>
      <c r="D21" s="148"/>
      <c r="E21" s="148"/>
      <c r="F21" s="138"/>
      <c r="G21" s="139">
        <v>0</v>
      </c>
      <c r="H21" s="134" t="s">
        <v>250</v>
      </c>
      <c r="I21" s="184">
        <f>450000*1</f>
        <v>450000</v>
      </c>
      <c r="L21" s="104"/>
    </row>
    <row r="22" spans="1:12" ht="20.100000000000001" customHeight="1" x14ac:dyDescent="0.15">
      <c r="A22" s="180"/>
      <c r="B22" s="181"/>
      <c r="C22" s="176" t="s">
        <v>35</v>
      </c>
      <c r="D22" s="140">
        <v>900000</v>
      </c>
      <c r="E22" s="140">
        <f>I23</f>
        <v>900000</v>
      </c>
      <c r="F22" s="144">
        <f t="shared" si="2"/>
        <v>0</v>
      </c>
      <c r="G22" s="150">
        <v>0</v>
      </c>
      <c r="H22" s="142" t="s">
        <v>35</v>
      </c>
      <c r="I22" s="177"/>
      <c r="L22" s="104"/>
    </row>
    <row r="23" spans="1:12" ht="20.100000000000001" customHeight="1" x14ac:dyDescent="0.15">
      <c r="A23" s="180"/>
      <c r="B23" s="181"/>
      <c r="C23" s="178"/>
      <c r="D23" s="143"/>
      <c r="E23" s="143"/>
      <c r="F23" s="138"/>
      <c r="G23" s="150"/>
      <c r="H23" s="152" t="s">
        <v>202</v>
      </c>
      <c r="I23" s="179">
        <f>100000*9</f>
        <v>900000</v>
      </c>
      <c r="L23" s="104"/>
    </row>
    <row r="24" spans="1:12" ht="20.100000000000001" customHeight="1" x14ac:dyDescent="0.15">
      <c r="A24" s="292" t="s">
        <v>37</v>
      </c>
      <c r="B24" s="293"/>
      <c r="C24" s="291"/>
      <c r="D24" s="146">
        <v>0</v>
      </c>
      <c r="E24" s="146">
        <f>E25</f>
        <v>0</v>
      </c>
      <c r="F24" s="132">
        <f t="shared" si="2"/>
        <v>0</v>
      </c>
      <c r="G24" s="147">
        <v>0</v>
      </c>
      <c r="H24" s="136" t="s">
        <v>37</v>
      </c>
      <c r="I24" s="175"/>
      <c r="L24" s="100"/>
    </row>
    <row r="25" spans="1:12" ht="20.100000000000001" customHeight="1" x14ac:dyDescent="0.15">
      <c r="A25" s="180"/>
      <c r="B25" s="290" t="s">
        <v>37</v>
      </c>
      <c r="C25" s="291"/>
      <c r="D25" s="148">
        <v>0</v>
      </c>
      <c r="E25" s="148">
        <f>E26</f>
        <v>0</v>
      </c>
      <c r="F25" s="138">
        <f t="shared" si="2"/>
        <v>0</v>
      </c>
      <c r="G25" s="139">
        <v>0</v>
      </c>
      <c r="H25" s="136" t="s">
        <v>37</v>
      </c>
      <c r="I25" s="175"/>
      <c r="L25" s="104"/>
    </row>
    <row r="26" spans="1:12" ht="20.100000000000001" customHeight="1" x14ac:dyDescent="0.15">
      <c r="A26" s="185"/>
      <c r="B26" s="186"/>
      <c r="C26" s="187" t="s">
        <v>140</v>
      </c>
      <c r="D26" s="153">
        <v>0</v>
      </c>
      <c r="E26" s="153">
        <v>0</v>
      </c>
      <c r="F26" s="154">
        <f t="shared" si="2"/>
        <v>0</v>
      </c>
      <c r="G26" s="155">
        <v>0</v>
      </c>
      <c r="H26" s="156" t="s">
        <v>144</v>
      </c>
      <c r="I26" s="188"/>
      <c r="L26" s="104"/>
    </row>
    <row r="27" spans="1:12" ht="20.100000000000001" customHeight="1" x14ac:dyDescent="0.15">
      <c r="A27" s="314" t="s">
        <v>24</v>
      </c>
      <c r="B27" s="315"/>
      <c r="C27" s="316"/>
      <c r="D27" s="157">
        <v>7891289</v>
      </c>
      <c r="E27" s="157">
        <f>E28</f>
        <v>7903455</v>
      </c>
      <c r="F27" s="157">
        <f t="shared" si="2"/>
        <v>12166</v>
      </c>
      <c r="G27" s="158">
        <f t="shared" si="1"/>
        <v>100.15416999681548</v>
      </c>
      <c r="H27" s="159" t="s">
        <v>24</v>
      </c>
      <c r="I27" s="189"/>
      <c r="K27" s="190"/>
    </row>
    <row r="28" spans="1:12" ht="20.100000000000001" customHeight="1" x14ac:dyDescent="0.15">
      <c r="A28" s="191"/>
      <c r="B28" s="192" t="s">
        <v>24</v>
      </c>
      <c r="C28" s="193"/>
      <c r="D28" s="138">
        <v>7891289</v>
      </c>
      <c r="E28" s="138">
        <f>E29+E31</f>
        <v>7903455</v>
      </c>
      <c r="F28" s="138">
        <f t="shared" si="2"/>
        <v>12166</v>
      </c>
      <c r="G28" s="139">
        <f t="shared" si="1"/>
        <v>100.15416999681548</v>
      </c>
      <c r="H28" s="134" t="s">
        <v>24</v>
      </c>
      <c r="I28" s="184"/>
    </row>
    <row r="29" spans="1:12" ht="20.100000000000001" customHeight="1" x14ac:dyDescent="0.15">
      <c r="A29" s="191"/>
      <c r="B29" s="183"/>
      <c r="C29" s="178" t="s">
        <v>96</v>
      </c>
      <c r="D29" s="144">
        <v>30100</v>
      </c>
      <c r="E29" s="144">
        <f>I30</f>
        <v>30100</v>
      </c>
      <c r="F29" s="144">
        <f t="shared" si="2"/>
        <v>0</v>
      </c>
      <c r="G29" s="151">
        <f t="shared" si="1"/>
        <v>100</v>
      </c>
      <c r="H29" s="152" t="s">
        <v>96</v>
      </c>
      <c r="I29" s="179"/>
    </row>
    <row r="30" spans="1:12" ht="20.100000000000001" customHeight="1" x14ac:dyDescent="0.15">
      <c r="A30" s="194"/>
      <c r="B30" s="183"/>
      <c r="C30" s="182"/>
      <c r="D30" s="138"/>
      <c r="E30" s="138"/>
      <c r="F30" s="138"/>
      <c r="G30" s="160"/>
      <c r="H30" s="152" t="s">
        <v>136</v>
      </c>
      <c r="I30" s="179">
        <f>15050*2</f>
        <v>30100</v>
      </c>
    </row>
    <row r="31" spans="1:12" ht="20.100000000000001" customHeight="1" x14ac:dyDescent="0.15">
      <c r="A31" s="194"/>
      <c r="B31" s="178"/>
      <c r="C31" s="176" t="s">
        <v>36</v>
      </c>
      <c r="D31" s="149">
        <v>7861189</v>
      </c>
      <c r="E31" s="149">
        <f>I32+I33+I34</f>
        <v>7873355</v>
      </c>
      <c r="F31" s="149">
        <f t="shared" si="2"/>
        <v>12166</v>
      </c>
      <c r="G31" s="161">
        <f t="shared" si="1"/>
        <v>100.15476030407105</v>
      </c>
      <c r="H31" s="142" t="s">
        <v>36</v>
      </c>
      <c r="I31" s="177"/>
    </row>
    <row r="32" spans="1:12" ht="20.100000000000001" customHeight="1" x14ac:dyDescent="0.15">
      <c r="A32" s="194"/>
      <c r="B32" s="183"/>
      <c r="C32" s="178"/>
      <c r="D32" s="144"/>
      <c r="E32" s="144"/>
      <c r="F32" s="144"/>
      <c r="G32" s="151"/>
      <c r="H32" s="152" t="s">
        <v>196</v>
      </c>
      <c r="I32" s="179">
        <f>50000*10*12</f>
        <v>6000000</v>
      </c>
    </row>
    <row r="33" spans="1:9" ht="20.100000000000001" customHeight="1" x14ac:dyDescent="0.15">
      <c r="A33" s="194"/>
      <c r="B33" s="183"/>
      <c r="C33" s="178"/>
      <c r="D33" s="144"/>
      <c r="E33" s="144"/>
      <c r="F33" s="144"/>
      <c r="G33" s="151"/>
      <c r="H33" s="152" t="s">
        <v>174</v>
      </c>
      <c r="I33" s="179">
        <f>150000*12</f>
        <v>1800000</v>
      </c>
    </row>
    <row r="34" spans="1:9" ht="20.100000000000001" customHeight="1" x14ac:dyDescent="0.15">
      <c r="A34" s="194"/>
      <c r="B34" s="183"/>
      <c r="C34" s="178"/>
      <c r="D34" s="144"/>
      <c r="E34" s="144"/>
      <c r="F34" s="144"/>
      <c r="G34" s="151"/>
      <c r="H34" s="152" t="s">
        <v>253</v>
      </c>
      <c r="I34" s="179">
        <f>73355*1</f>
        <v>73355</v>
      </c>
    </row>
    <row r="35" spans="1:9" ht="20.100000000000001" customHeight="1" x14ac:dyDescent="0.15">
      <c r="A35" s="195" t="s">
        <v>21</v>
      </c>
      <c r="B35" s="196"/>
      <c r="C35" s="197"/>
      <c r="D35" s="135">
        <v>13864363</v>
      </c>
      <c r="E35" s="135">
        <f>E36</f>
        <v>13864363</v>
      </c>
      <c r="F35" s="135">
        <f>E35-D35</f>
        <v>0</v>
      </c>
      <c r="G35" s="162">
        <f t="shared" si="1"/>
        <v>100</v>
      </c>
      <c r="H35" s="136" t="s">
        <v>39</v>
      </c>
      <c r="I35" s="175"/>
    </row>
    <row r="36" spans="1:9" ht="20.100000000000001" customHeight="1" x14ac:dyDescent="0.15">
      <c r="A36" s="194"/>
      <c r="B36" s="198" t="s">
        <v>22</v>
      </c>
      <c r="C36" s="197"/>
      <c r="D36" s="137">
        <v>13864363</v>
      </c>
      <c r="E36" s="137">
        <f>E37</f>
        <v>13864363</v>
      </c>
      <c r="F36" s="138">
        <f t="shared" si="0"/>
        <v>0</v>
      </c>
      <c r="G36" s="139">
        <f t="shared" si="1"/>
        <v>100</v>
      </c>
      <c r="H36" s="136" t="s">
        <v>113</v>
      </c>
      <c r="I36" s="175"/>
    </row>
    <row r="37" spans="1:9" ht="20.100000000000001" customHeight="1" x14ac:dyDescent="0.15">
      <c r="A37" s="194"/>
      <c r="B37" s="199"/>
      <c r="C37" s="176" t="s">
        <v>23</v>
      </c>
      <c r="D37" s="149">
        <v>13864363</v>
      </c>
      <c r="E37" s="149">
        <f>I40+I39+I38</f>
        <v>13864363</v>
      </c>
      <c r="F37" s="144">
        <f t="shared" si="0"/>
        <v>0</v>
      </c>
      <c r="G37" s="150">
        <f t="shared" si="1"/>
        <v>100</v>
      </c>
      <c r="H37" s="142" t="s">
        <v>113</v>
      </c>
      <c r="I37" s="179"/>
    </row>
    <row r="38" spans="1:9" ht="20.100000000000001" customHeight="1" x14ac:dyDescent="0.15">
      <c r="A38" s="194"/>
      <c r="B38" s="183"/>
      <c r="C38" s="183"/>
      <c r="D38" s="144"/>
      <c r="E38" s="144"/>
      <c r="F38" s="144"/>
      <c r="G38" s="150"/>
      <c r="H38" s="163" t="s">
        <v>189</v>
      </c>
      <c r="I38" s="179">
        <f>12629613*1</f>
        <v>12629613</v>
      </c>
    </row>
    <row r="39" spans="1:9" ht="20.100000000000001" customHeight="1" x14ac:dyDescent="0.15">
      <c r="A39" s="194"/>
      <c r="B39" s="183"/>
      <c r="C39" s="183"/>
      <c r="D39" s="144"/>
      <c r="E39" s="144"/>
      <c r="F39" s="144"/>
      <c r="G39" s="151"/>
      <c r="H39" s="164" t="s">
        <v>190</v>
      </c>
      <c r="I39" s="179">
        <f>884739*1</f>
        <v>884739</v>
      </c>
    </row>
    <row r="40" spans="1:9" ht="20.100000000000001" customHeight="1" x14ac:dyDescent="0.15">
      <c r="A40" s="200"/>
      <c r="B40" s="201"/>
      <c r="C40" s="202"/>
      <c r="D40" s="165"/>
      <c r="E40" s="165"/>
      <c r="F40" s="165"/>
      <c r="G40" s="166"/>
      <c r="H40" s="167" t="s">
        <v>191</v>
      </c>
      <c r="I40" s="203">
        <f>350011*1</f>
        <v>350011</v>
      </c>
    </row>
    <row r="41" spans="1:9" x14ac:dyDescent="0.15">
      <c r="A41" s="169"/>
      <c r="B41" s="169"/>
      <c r="C41" s="169"/>
      <c r="D41" s="204"/>
      <c r="E41" s="168"/>
      <c r="F41" s="168"/>
      <c r="G41" s="128"/>
      <c r="H41" s="169"/>
    </row>
  </sheetData>
  <customSheetViews>
    <customSheetView guid="{29BE6789-D580-482F-AE13-9E62D887C1AB}" showPageBreaks="1" printArea="1" view="pageBreakPreview" topLeftCell="B19">
      <selection activeCell="H143" sqref="H143"/>
      <rowBreaks count="1" manualBreakCount="1">
        <brk id="26" max="8" man="1"/>
      </rowBreaks>
      <pageMargins left="0.94488188976377963" right="0.74803149606299213" top="0.98425196850393704" bottom="0.98425196850393704" header="0.51181102362204722" footer="0.51181102362204722"/>
      <printOptions horizontalCentered="1"/>
      <pageSetup paperSize="9" scale="80" firstPageNumber="3" orientation="landscape" useFirstPageNumber="1" r:id="rId1"/>
      <headerFooter alignWithMargins="0">
        <oddFooter xml:space="preserve">&amp;R참좋은 기억학교(2022.02.14)
</oddFooter>
      </headerFooter>
    </customSheetView>
  </customSheetViews>
  <mergeCells count="20">
    <mergeCell ref="A18:C18"/>
    <mergeCell ref="B19:C19"/>
    <mergeCell ref="A24:C24"/>
    <mergeCell ref="B25:C25"/>
    <mergeCell ref="A27:C27"/>
    <mergeCell ref="B12:C12"/>
    <mergeCell ref="A11:C11"/>
    <mergeCell ref="A1:H1"/>
    <mergeCell ref="A3:C3"/>
    <mergeCell ref="H3:I3"/>
    <mergeCell ref="A4:C4"/>
    <mergeCell ref="D4:D5"/>
    <mergeCell ref="E4:E5"/>
    <mergeCell ref="F4:G4"/>
    <mergeCell ref="H4:I5"/>
    <mergeCell ref="A6:C6"/>
    <mergeCell ref="A7:C7"/>
    <mergeCell ref="A8:A10"/>
    <mergeCell ref="B8:C8"/>
    <mergeCell ref="B9:B10"/>
  </mergeCells>
  <phoneticPr fontId="2" type="noConversion"/>
  <printOptions horizontalCentered="1"/>
  <pageMargins left="0.94488188976377963" right="0.74803149606299213" top="0.98425196850393704" bottom="0.98425196850393704" header="0.51181102362204722" footer="0.51181102362204722"/>
  <pageSetup paperSize="9" scale="69" firstPageNumber="3" fitToWidth="0" fitToHeight="0" orientation="landscape" useFirstPageNumber="1" r:id="rId2"/>
  <headerFooter alignWithMargins="0">
    <oddFooter xml:space="preserve">&amp;R참좋은기억학교(2023. 9. 7.)
</oddFooter>
  </headerFooter>
  <rowBreaks count="1" manualBreakCount="1">
    <brk id="26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55"/>
  <sheetViews>
    <sheetView tabSelected="1" view="pageBreakPreview" topLeftCell="A49" zoomScale="98" zoomScaleNormal="100" zoomScaleSheetLayoutView="98" workbookViewId="0">
      <selection activeCell="H22" sqref="H22"/>
    </sheetView>
  </sheetViews>
  <sheetFormatPr defaultRowHeight="13.5" x14ac:dyDescent="0.15"/>
  <cols>
    <col min="1" max="1" width="9.44140625" style="34" customWidth="1"/>
    <col min="2" max="2" width="10.21875" style="34" customWidth="1"/>
    <col min="3" max="3" width="12.6640625" style="34" customWidth="1"/>
    <col min="4" max="4" width="12.6640625" style="55" customWidth="1"/>
    <col min="5" max="5" width="13" style="98" customWidth="1"/>
    <col min="6" max="6" width="11.77734375" style="109" customWidth="1"/>
    <col min="7" max="7" width="10.109375" style="104" customWidth="1"/>
    <col min="8" max="8" width="40.33203125" style="105" customWidth="1"/>
    <col min="9" max="9" width="22.33203125" style="64" bestFit="1" customWidth="1"/>
    <col min="10" max="10" width="13" style="34" bestFit="1" customWidth="1"/>
    <col min="11" max="11" width="20.77734375" style="34" bestFit="1" customWidth="1"/>
    <col min="12" max="12" width="15" style="68" bestFit="1" customWidth="1"/>
    <col min="13" max="13" width="15.5546875" style="34" bestFit="1" customWidth="1"/>
    <col min="14" max="16384" width="8.88671875" style="34"/>
  </cols>
  <sheetData>
    <row r="1" spans="1:13" s="39" customFormat="1" ht="20.100000000000001" customHeight="1" x14ac:dyDescent="0.15">
      <c r="A1" s="317" t="s">
        <v>218</v>
      </c>
      <c r="B1" s="317"/>
      <c r="C1" s="317"/>
      <c r="D1" s="317"/>
      <c r="E1" s="317"/>
      <c r="F1" s="317"/>
      <c r="G1" s="317"/>
      <c r="H1" s="317"/>
      <c r="I1" s="87"/>
      <c r="L1" s="87"/>
    </row>
    <row r="2" spans="1:13" s="39" customFormat="1" ht="20.100000000000001" customHeight="1" x14ac:dyDescent="0.15">
      <c r="A2" s="84"/>
      <c r="B2" s="84"/>
      <c r="C2" s="85"/>
      <c r="D2" s="86"/>
      <c r="E2" s="97"/>
      <c r="F2" s="106"/>
      <c r="G2" s="107"/>
      <c r="H2" s="108"/>
      <c r="I2" s="87"/>
      <c r="L2" s="87"/>
    </row>
    <row r="3" spans="1:13" s="169" customFormat="1" ht="20.100000000000001" customHeight="1" x14ac:dyDescent="0.15">
      <c r="A3" s="295" t="s">
        <v>126</v>
      </c>
      <c r="B3" s="295"/>
      <c r="C3" s="295"/>
      <c r="D3" s="168"/>
      <c r="E3" s="205"/>
      <c r="F3" s="127"/>
      <c r="G3" s="128"/>
      <c r="H3" s="297" t="s">
        <v>12</v>
      </c>
      <c r="I3" s="298"/>
      <c r="L3" s="170"/>
    </row>
    <row r="4" spans="1:13" s="169" customFormat="1" ht="20.100000000000001" customHeight="1" x14ac:dyDescent="0.15">
      <c r="A4" s="322" t="s">
        <v>13</v>
      </c>
      <c r="B4" s="304"/>
      <c r="C4" s="304"/>
      <c r="D4" s="302" t="s">
        <v>222</v>
      </c>
      <c r="E4" s="302" t="s">
        <v>223</v>
      </c>
      <c r="F4" s="304" t="s">
        <v>4</v>
      </c>
      <c r="G4" s="304"/>
      <c r="H4" s="305" t="s">
        <v>14</v>
      </c>
      <c r="I4" s="306"/>
      <c r="L4" s="170"/>
    </row>
    <row r="5" spans="1:13" s="169" customFormat="1" ht="24.75" customHeight="1" thickBot="1" x14ac:dyDescent="0.2">
      <c r="A5" s="172" t="s">
        <v>15</v>
      </c>
      <c r="B5" s="173" t="s">
        <v>16</v>
      </c>
      <c r="C5" s="173" t="s">
        <v>17</v>
      </c>
      <c r="D5" s="303"/>
      <c r="E5" s="303"/>
      <c r="F5" s="129" t="s">
        <v>18</v>
      </c>
      <c r="G5" s="130" t="s">
        <v>19</v>
      </c>
      <c r="H5" s="307"/>
      <c r="I5" s="308"/>
      <c r="J5" s="128"/>
      <c r="L5" s="170"/>
    </row>
    <row r="6" spans="1:13" s="169" customFormat="1" ht="20.100000000000001" customHeight="1" thickTop="1" x14ac:dyDescent="0.15">
      <c r="A6" s="320" t="s">
        <v>20</v>
      </c>
      <c r="B6" s="321"/>
      <c r="C6" s="321"/>
      <c r="D6" s="131">
        <v>444800000.47373056</v>
      </c>
      <c r="E6" s="206">
        <f>E7+E82+E91+E143</f>
        <v>449100000.27733749</v>
      </c>
      <c r="F6" s="131">
        <f>E6-D6</f>
        <v>4299999.8036069274</v>
      </c>
      <c r="G6" s="133">
        <f>E6/D6*100</f>
        <v>100.96672657352231</v>
      </c>
      <c r="H6" s="207"/>
      <c r="I6" s="179"/>
      <c r="J6" s="168"/>
      <c r="L6" s="170"/>
    </row>
    <row r="7" spans="1:13" s="169" customFormat="1" ht="20.100000000000001" customHeight="1" x14ac:dyDescent="0.15">
      <c r="A7" s="195" t="s">
        <v>25</v>
      </c>
      <c r="B7" s="245"/>
      <c r="C7" s="197"/>
      <c r="D7" s="209">
        <v>395003548.47373056</v>
      </c>
      <c r="E7" s="208">
        <f>E8+E50+E55</f>
        <v>398171382.27733749</v>
      </c>
      <c r="F7" s="209">
        <f t="shared" ref="F7:F147" si="0">E7-D7</f>
        <v>3167833.8036069274</v>
      </c>
      <c r="G7" s="133">
        <f>E7/D7*100</f>
        <v>100.80197603688555</v>
      </c>
      <c r="H7" s="210" t="s">
        <v>25</v>
      </c>
      <c r="I7" s="175"/>
      <c r="J7" s="168"/>
      <c r="L7" s="170"/>
      <c r="M7" s="246"/>
    </row>
    <row r="8" spans="1:13" s="169" customFormat="1" ht="20.25" customHeight="1" x14ac:dyDescent="0.15">
      <c r="A8" s="194"/>
      <c r="B8" s="198" t="s">
        <v>26</v>
      </c>
      <c r="C8" s="197"/>
      <c r="D8" s="212">
        <v>348064348.47373056</v>
      </c>
      <c r="E8" s="211">
        <f>E9+E29+E38+E40+E46</f>
        <v>348182182.27733749</v>
      </c>
      <c r="F8" s="212">
        <f t="shared" si="0"/>
        <v>117833.80360692739</v>
      </c>
      <c r="G8" s="139">
        <f t="shared" ref="G8:G9" si="1">E8/D8*100</f>
        <v>100.03385402846445</v>
      </c>
      <c r="H8" s="213" t="s">
        <v>26</v>
      </c>
      <c r="I8" s="175"/>
      <c r="L8" s="170"/>
    </row>
    <row r="9" spans="1:13" s="169" customFormat="1" ht="20.100000000000001" customHeight="1" x14ac:dyDescent="0.15">
      <c r="A9" s="194"/>
      <c r="B9" s="178"/>
      <c r="C9" s="176" t="s">
        <v>40</v>
      </c>
      <c r="D9" s="227">
        <v>256254900</v>
      </c>
      <c r="E9" s="214">
        <f>I9</f>
        <v>255343800</v>
      </c>
      <c r="F9" s="227">
        <f>E9-D9</f>
        <v>-911100</v>
      </c>
      <c r="G9" s="161">
        <f t="shared" si="1"/>
        <v>99.644455579190875</v>
      </c>
      <c r="H9" s="215" t="s">
        <v>41</v>
      </c>
      <c r="I9" s="216">
        <f>SUM(I10:I28)</f>
        <v>255343800</v>
      </c>
      <c r="J9" s="170"/>
      <c r="K9" s="168"/>
      <c r="L9" s="170"/>
    </row>
    <row r="10" spans="1:13" s="169" customFormat="1" ht="20.100000000000001" customHeight="1" x14ac:dyDescent="0.15">
      <c r="A10" s="194"/>
      <c r="B10" s="178"/>
      <c r="C10" s="178"/>
      <c r="D10" s="234"/>
      <c r="E10" s="217"/>
      <c r="F10" s="218"/>
      <c r="G10" s="219"/>
      <c r="H10" s="152" t="s">
        <v>179</v>
      </c>
      <c r="I10" s="179">
        <f>3581900*1</f>
        <v>3581900</v>
      </c>
      <c r="J10" s="168"/>
      <c r="K10" s="168"/>
      <c r="L10" s="170"/>
    </row>
    <row r="11" spans="1:13" s="169" customFormat="1" ht="20.100000000000001" customHeight="1" x14ac:dyDescent="0.15">
      <c r="A11" s="194"/>
      <c r="B11" s="178"/>
      <c r="C11" s="178"/>
      <c r="D11" s="234"/>
      <c r="E11" s="217"/>
      <c r="F11" s="218"/>
      <c r="G11" s="219"/>
      <c r="H11" s="152" t="s">
        <v>180</v>
      </c>
      <c r="I11" s="179">
        <f>3655700*11</f>
        <v>40212700</v>
      </c>
      <c r="J11" s="128"/>
      <c r="L11" s="170"/>
    </row>
    <row r="12" spans="1:13" s="169" customFormat="1" ht="20.100000000000001" customHeight="1" x14ac:dyDescent="0.15">
      <c r="A12" s="194"/>
      <c r="B12" s="178"/>
      <c r="C12" s="178"/>
      <c r="D12" s="234"/>
      <c r="E12" s="217"/>
      <c r="F12" s="218"/>
      <c r="G12" s="219"/>
      <c r="H12" s="152" t="s">
        <v>181</v>
      </c>
      <c r="I12" s="179">
        <f>2770100*1</f>
        <v>2770100</v>
      </c>
      <c r="J12" s="128"/>
      <c r="L12" s="170"/>
    </row>
    <row r="13" spans="1:13" s="169" customFormat="1" ht="20.100000000000001" customHeight="1" x14ac:dyDescent="0.15">
      <c r="A13" s="194"/>
      <c r="B13" s="178"/>
      <c r="C13" s="178"/>
      <c r="D13" s="234"/>
      <c r="E13" s="217"/>
      <c r="F13" s="218"/>
      <c r="G13" s="219"/>
      <c r="H13" s="152" t="s">
        <v>206</v>
      </c>
      <c r="I13" s="179">
        <f>2861500*7</f>
        <v>20030500</v>
      </c>
      <c r="J13" s="128"/>
      <c r="L13" s="170"/>
    </row>
    <row r="14" spans="1:13" s="169" customFormat="1" ht="20.100000000000001" customHeight="1" x14ac:dyDescent="0.15">
      <c r="A14" s="194"/>
      <c r="B14" s="178"/>
      <c r="C14" s="178"/>
      <c r="D14" s="234"/>
      <c r="E14" s="217"/>
      <c r="F14" s="218"/>
      <c r="G14" s="219"/>
      <c r="H14" s="152" t="s">
        <v>207</v>
      </c>
      <c r="I14" s="179">
        <f>2505300*8</f>
        <v>20042400</v>
      </c>
      <c r="J14" s="128"/>
      <c r="L14" s="170"/>
    </row>
    <row r="15" spans="1:13" s="169" customFormat="1" ht="20.100000000000001" customHeight="1" x14ac:dyDescent="0.15">
      <c r="A15" s="194"/>
      <c r="B15" s="178"/>
      <c r="C15" s="178"/>
      <c r="D15" s="234"/>
      <c r="E15" s="217"/>
      <c r="F15" s="218"/>
      <c r="G15" s="219"/>
      <c r="H15" s="152" t="s">
        <v>209</v>
      </c>
      <c r="I15" s="179">
        <f>2671000*1</f>
        <v>2671000</v>
      </c>
      <c r="J15" s="128"/>
      <c r="L15" s="170"/>
    </row>
    <row r="16" spans="1:13" s="169" customFormat="1" ht="20.100000000000001" customHeight="1" x14ac:dyDescent="0.15">
      <c r="A16" s="194"/>
      <c r="B16" s="178"/>
      <c r="C16" s="178"/>
      <c r="D16" s="234"/>
      <c r="E16" s="217"/>
      <c r="F16" s="218"/>
      <c r="G16" s="219"/>
      <c r="H16" s="152" t="s">
        <v>208</v>
      </c>
      <c r="I16" s="179">
        <f>2770100*3</f>
        <v>8310300</v>
      </c>
      <c r="J16" s="128"/>
      <c r="L16" s="170"/>
    </row>
    <row r="17" spans="1:12" s="169" customFormat="1" ht="20.100000000000001" customHeight="1" x14ac:dyDescent="0.15">
      <c r="A17" s="194"/>
      <c r="B17" s="178"/>
      <c r="C17" s="178"/>
      <c r="D17" s="234"/>
      <c r="E17" s="217"/>
      <c r="F17" s="218"/>
      <c r="G17" s="219"/>
      <c r="H17" s="152" t="s">
        <v>237</v>
      </c>
      <c r="I17" s="179">
        <f>2151100*10</f>
        <v>21511000</v>
      </c>
      <c r="J17" s="128"/>
      <c r="L17" s="170"/>
    </row>
    <row r="18" spans="1:12" s="169" customFormat="1" ht="20.100000000000001" customHeight="1" x14ac:dyDescent="0.15">
      <c r="A18" s="194"/>
      <c r="B18" s="178"/>
      <c r="C18" s="178"/>
      <c r="D18" s="234"/>
      <c r="E18" s="217"/>
      <c r="F18" s="218"/>
      <c r="G18" s="219"/>
      <c r="H18" s="152" t="s">
        <v>236</v>
      </c>
      <c r="I18" s="179">
        <f>2206900*2</f>
        <v>4413800</v>
      </c>
      <c r="J18" s="128"/>
      <c r="L18" s="170"/>
    </row>
    <row r="19" spans="1:12" s="169" customFormat="1" ht="20.100000000000001" customHeight="1" x14ac:dyDescent="0.15">
      <c r="A19" s="194"/>
      <c r="B19" s="178"/>
      <c r="C19" s="178"/>
      <c r="D19" s="234"/>
      <c r="E19" s="217"/>
      <c r="F19" s="218"/>
      <c r="G19" s="219"/>
      <c r="H19" s="152" t="s">
        <v>187</v>
      </c>
      <c r="I19" s="179">
        <f>2112400*2</f>
        <v>4224800</v>
      </c>
      <c r="J19" s="128"/>
      <c r="L19" s="170"/>
    </row>
    <row r="20" spans="1:12" s="169" customFormat="1" ht="20.100000000000001" customHeight="1" x14ac:dyDescent="0.15">
      <c r="A20" s="194"/>
      <c r="B20" s="178"/>
      <c r="C20" s="178"/>
      <c r="D20" s="234"/>
      <c r="E20" s="217"/>
      <c r="F20" s="218"/>
      <c r="G20" s="219"/>
      <c r="H20" s="152" t="s">
        <v>188</v>
      </c>
      <c r="I20" s="179">
        <f>2151100*10</f>
        <v>21511000</v>
      </c>
      <c r="J20" s="128"/>
      <c r="L20" s="170"/>
    </row>
    <row r="21" spans="1:12" s="169" customFormat="1" ht="20.100000000000001" customHeight="1" x14ac:dyDescent="0.15">
      <c r="A21" s="194"/>
      <c r="B21" s="178"/>
      <c r="C21" s="178"/>
      <c r="D21" s="234"/>
      <c r="E21" s="217"/>
      <c r="F21" s="218"/>
      <c r="G21" s="220"/>
      <c r="H21" s="152" t="s">
        <v>232</v>
      </c>
      <c r="I21" s="179">
        <f>2323300*11</f>
        <v>25556300</v>
      </c>
      <c r="J21" s="128"/>
      <c r="L21" s="170"/>
    </row>
    <row r="22" spans="1:12" s="169" customFormat="1" ht="20.100000000000001" customHeight="1" x14ac:dyDescent="0.15">
      <c r="A22" s="194"/>
      <c r="B22" s="178"/>
      <c r="C22" s="178"/>
      <c r="D22" s="234"/>
      <c r="E22" s="217"/>
      <c r="F22" s="218"/>
      <c r="G22" s="219"/>
      <c r="H22" s="152" t="s">
        <v>271</v>
      </c>
      <c r="I22" s="179">
        <f>2410000*1</f>
        <v>2410000</v>
      </c>
      <c r="J22" s="128"/>
      <c r="L22" s="170"/>
    </row>
    <row r="23" spans="1:12" s="169" customFormat="1" ht="20.100000000000001" customHeight="1" x14ac:dyDescent="0.15">
      <c r="A23" s="194"/>
      <c r="B23" s="178"/>
      <c r="C23" s="178"/>
      <c r="D23" s="234"/>
      <c r="E23" s="217"/>
      <c r="F23" s="218"/>
      <c r="G23" s="219"/>
      <c r="H23" s="152" t="s">
        <v>228</v>
      </c>
      <c r="I23" s="179">
        <f>2265300*1</f>
        <v>2265300</v>
      </c>
      <c r="J23" s="128"/>
      <c r="L23" s="170"/>
    </row>
    <row r="24" spans="1:12" s="169" customFormat="1" ht="20.100000000000001" customHeight="1" x14ac:dyDescent="0.15">
      <c r="A24" s="194"/>
      <c r="B24" s="178"/>
      <c r="C24" s="178"/>
      <c r="D24" s="234"/>
      <c r="E24" s="217"/>
      <c r="F24" s="218"/>
      <c r="G24" s="219"/>
      <c r="H24" s="152" t="s">
        <v>227</v>
      </c>
      <c r="I24" s="179">
        <f>2323300*3</f>
        <v>6969900</v>
      </c>
      <c r="J24" s="128"/>
      <c r="L24" s="170"/>
    </row>
    <row r="25" spans="1:12" s="169" customFormat="1" ht="20.100000000000001" customHeight="1" x14ac:dyDescent="0.15">
      <c r="A25" s="194"/>
      <c r="B25" s="178"/>
      <c r="C25" s="178"/>
      <c r="D25" s="234"/>
      <c r="E25" s="217"/>
      <c r="F25" s="218"/>
      <c r="G25" s="219"/>
      <c r="H25" s="152" t="s">
        <v>182</v>
      </c>
      <c r="I25" s="179">
        <f>2091800*8</f>
        <v>16734400</v>
      </c>
      <c r="J25" s="128"/>
      <c r="L25" s="170"/>
    </row>
    <row r="26" spans="1:12" s="169" customFormat="1" ht="20.100000000000001" customHeight="1" x14ac:dyDescent="0.15">
      <c r="A26" s="194"/>
      <c r="B26" s="178"/>
      <c r="C26" s="178"/>
      <c r="D26" s="234"/>
      <c r="E26" s="217"/>
      <c r="F26" s="218"/>
      <c r="G26" s="219"/>
      <c r="H26" s="152" t="s">
        <v>183</v>
      </c>
      <c r="I26" s="179">
        <f>2127100*4</f>
        <v>8508400</v>
      </c>
      <c r="J26" s="128"/>
      <c r="L26" s="170"/>
    </row>
    <row r="27" spans="1:12" s="169" customFormat="1" ht="20.100000000000001" customHeight="1" x14ac:dyDescent="0.15">
      <c r="A27" s="194"/>
      <c r="B27" s="178"/>
      <c r="C27" s="178"/>
      <c r="D27" s="234"/>
      <c r="E27" s="217"/>
      <c r="F27" s="218"/>
      <c r="G27" s="219"/>
      <c r="H27" s="152" t="s">
        <v>160</v>
      </c>
      <c r="I27" s="179">
        <f>2065000*12*1</f>
        <v>24780000</v>
      </c>
      <c r="J27" s="128"/>
      <c r="L27" s="170"/>
    </row>
    <row r="28" spans="1:12" s="169" customFormat="1" ht="20.100000000000001" customHeight="1" x14ac:dyDescent="0.15">
      <c r="A28" s="200"/>
      <c r="B28" s="201"/>
      <c r="C28" s="201"/>
      <c r="D28" s="232"/>
      <c r="E28" s="221"/>
      <c r="F28" s="222"/>
      <c r="G28" s="223"/>
      <c r="H28" s="224" t="s">
        <v>161</v>
      </c>
      <c r="I28" s="203">
        <f>1570000*12*1</f>
        <v>18840000</v>
      </c>
      <c r="J28" s="128"/>
      <c r="L28" s="170"/>
    </row>
    <row r="29" spans="1:12" s="169" customFormat="1" ht="20.100000000000001" customHeight="1" x14ac:dyDescent="0.15">
      <c r="A29" s="194"/>
      <c r="B29" s="178"/>
      <c r="C29" s="178" t="s">
        <v>42</v>
      </c>
      <c r="D29" s="234">
        <v>35437070</v>
      </c>
      <c r="E29" s="217">
        <f>I31+I33+I35+I37</f>
        <v>36413700</v>
      </c>
      <c r="F29" s="234">
        <f>E29-D29</f>
        <v>976630</v>
      </c>
      <c r="G29" s="151">
        <f>E29/D29*100</f>
        <v>102.75595583946415</v>
      </c>
      <c r="H29" s="152" t="s">
        <v>42</v>
      </c>
      <c r="I29" s="179"/>
      <c r="K29" s="168"/>
      <c r="L29" s="170"/>
    </row>
    <row r="30" spans="1:12" s="169" customFormat="1" ht="20.100000000000001" customHeight="1" x14ac:dyDescent="0.15">
      <c r="A30" s="191"/>
      <c r="B30" s="178"/>
      <c r="C30" s="178"/>
      <c r="D30" s="234"/>
      <c r="E30" s="217"/>
      <c r="F30" s="218"/>
      <c r="G30" s="219"/>
      <c r="H30" s="152" t="s">
        <v>230</v>
      </c>
      <c r="I30" s="179"/>
      <c r="L30" s="170"/>
    </row>
    <row r="31" spans="1:12" s="169" customFormat="1" ht="20.100000000000001" customHeight="1" x14ac:dyDescent="0.15">
      <c r="A31" s="194"/>
      <c r="B31" s="178"/>
      <c r="C31" s="178"/>
      <c r="D31" s="234"/>
      <c r="E31" s="217"/>
      <c r="F31" s="218"/>
      <c r="G31" s="219"/>
      <c r="H31" s="228" t="s">
        <v>231</v>
      </c>
      <c r="I31" s="179">
        <f>12190775*2</f>
        <v>24381550</v>
      </c>
      <c r="L31" s="170"/>
    </row>
    <row r="32" spans="1:12" s="169" customFormat="1" ht="20.100000000000001" customHeight="1" x14ac:dyDescent="0.15">
      <c r="A32" s="191"/>
      <c r="B32" s="178"/>
      <c r="C32" s="178"/>
      <c r="D32" s="234"/>
      <c r="E32" s="217"/>
      <c r="F32" s="218"/>
      <c r="G32" s="219"/>
      <c r="H32" s="152" t="s">
        <v>233</v>
      </c>
      <c r="I32" s="179"/>
      <c r="L32" s="170"/>
    </row>
    <row r="33" spans="1:12" s="169" customFormat="1" ht="19.5" customHeight="1" x14ac:dyDescent="0.15">
      <c r="A33" s="194"/>
      <c r="B33" s="178"/>
      <c r="C33" s="178"/>
      <c r="D33" s="234"/>
      <c r="E33" s="217"/>
      <c r="F33" s="218"/>
      <c r="G33" s="219"/>
      <c r="H33" s="152" t="s">
        <v>234</v>
      </c>
      <c r="I33" s="179">
        <f>815000*4</f>
        <v>3260000</v>
      </c>
      <c r="L33" s="170"/>
    </row>
    <row r="34" spans="1:12" s="169" customFormat="1" ht="20.100000000000001" customHeight="1" x14ac:dyDescent="0.15">
      <c r="A34" s="194"/>
      <c r="B34" s="178"/>
      <c r="C34" s="178"/>
      <c r="D34" s="234"/>
      <c r="E34" s="217"/>
      <c r="F34" s="218"/>
      <c r="G34" s="225"/>
      <c r="H34" s="152" t="s">
        <v>192</v>
      </c>
      <c r="I34" s="179"/>
      <c r="L34" s="170"/>
    </row>
    <row r="35" spans="1:12" s="169" customFormat="1" ht="20.100000000000001" customHeight="1" x14ac:dyDescent="0.15">
      <c r="A35" s="194"/>
      <c r="B35" s="178"/>
      <c r="C35" s="178"/>
      <c r="D35" s="234"/>
      <c r="E35" s="217"/>
      <c r="F35" s="218"/>
      <c r="G35" s="219"/>
      <c r="H35" s="152" t="s">
        <v>168</v>
      </c>
      <c r="I35" s="179">
        <f>6972150*1</f>
        <v>6972150</v>
      </c>
      <c r="J35" s="128"/>
      <c r="L35" s="170"/>
    </row>
    <row r="36" spans="1:12" s="169" customFormat="1" ht="20.100000000000001" customHeight="1" x14ac:dyDescent="0.15">
      <c r="A36" s="194"/>
      <c r="B36" s="178"/>
      <c r="C36" s="178"/>
      <c r="D36" s="234"/>
      <c r="E36" s="217"/>
      <c r="F36" s="218"/>
      <c r="G36" s="219"/>
      <c r="H36" s="152" t="s">
        <v>229</v>
      </c>
      <c r="I36" s="179"/>
      <c r="J36" s="170"/>
      <c r="L36" s="170"/>
    </row>
    <row r="37" spans="1:12" s="169" customFormat="1" ht="20.100000000000001" customHeight="1" x14ac:dyDescent="0.15">
      <c r="A37" s="194"/>
      <c r="B37" s="178"/>
      <c r="C37" s="178"/>
      <c r="D37" s="230"/>
      <c r="E37" s="217"/>
      <c r="F37" s="218"/>
      <c r="G37" s="219"/>
      <c r="H37" s="152" t="s">
        <v>145</v>
      </c>
      <c r="I37" s="179">
        <f>100000*6*3</f>
        <v>1800000</v>
      </c>
      <c r="J37" s="168"/>
      <c r="K37" s="170"/>
      <c r="L37" s="170"/>
    </row>
    <row r="38" spans="1:12" s="169" customFormat="1" ht="20.100000000000001" customHeight="1" x14ac:dyDescent="0.15">
      <c r="A38" s="194"/>
      <c r="B38" s="178"/>
      <c r="C38" s="247" t="s">
        <v>70</v>
      </c>
      <c r="D38" s="227">
        <v>24280594.166666668</v>
      </c>
      <c r="E38" s="214">
        <f>I39</f>
        <v>24303825</v>
      </c>
      <c r="F38" s="227">
        <f>E38-D38</f>
        <v>23230.833333332092</v>
      </c>
      <c r="G38" s="161">
        <f>E38/D38*100</f>
        <v>100.09567654388466</v>
      </c>
      <c r="H38" s="142" t="s">
        <v>70</v>
      </c>
      <c r="I38" s="177"/>
      <c r="L38" s="170"/>
    </row>
    <row r="39" spans="1:12" s="169" customFormat="1" ht="20.100000000000001" customHeight="1" x14ac:dyDescent="0.15">
      <c r="A39" s="194"/>
      <c r="B39" s="178"/>
      <c r="C39" s="178"/>
      <c r="D39" s="234"/>
      <c r="E39" s="217"/>
      <c r="F39" s="218"/>
      <c r="G39" s="226"/>
      <c r="H39" s="152" t="s">
        <v>239</v>
      </c>
      <c r="I39" s="184">
        <f>291645900/12</f>
        <v>24303825</v>
      </c>
      <c r="K39" s="128"/>
      <c r="L39" s="170"/>
    </row>
    <row r="40" spans="1:12" s="169" customFormat="1" ht="20.100000000000001" customHeight="1" x14ac:dyDescent="0.15">
      <c r="A40" s="194"/>
      <c r="B40" s="178"/>
      <c r="C40" s="176" t="s">
        <v>43</v>
      </c>
      <c r="D40" s="227">
        <v>29751784.307063852</v>
      </c>
      <c r="E40" s="214">
        <f>SUM(I41:I45)</f>
        <v>29780857.277337499</v>
      </c>
      <c r="F40" s="227">
        <f>E40-D40</f>
        <v>29072.970273647457</v>
      </c>
      <c r="G40" s="161">
        <f>E40/D40*100</f>
        <v>100.0977184089989</v>
      </c>
      <c r="H40" s="142" t="s">
        <v>44</v>
      </c>
      <c r="I40" s="179"/>
      <c r="K40" s="128"/>
      <c r="L40" s="170"/>
    </row>
    <row r="41" spans="1:12" s="169" customFormat="1" ht="20.100000000000001" customHeight="1" x14ac:dyDescent="0.15">
      <c r="A41" s="194"/>
      <c r="B41" s="178"/>
      <c r="C41" s="178"/>
      <c r="D41" s="234"/>
      <c r="E41" s="217"/>
      <c r="F41" s="218"/>
      <c r="G41" s="219"/>
      <c r="H41" s="163" t="s">
        <v>238</v>
      </c>
      <c r="I41" s="179">
        <f>291757500*4.5%-1</f>
        <v>13129086.5</v>
      </c>
      <c r="J41" s="168"/>
      <c r="K41" s="128"/>
      <c r="L41" s="170"/>
    </row>
    <row r="42" spans="1:12" s="169" customFormat="1" ht="20.100000000000001" customHeight="1" x14ac:dyDescent="0.15">
      <c r="A42" s="194"/>
      <c r="B42" s="178"/>
      <c r="C42" s="183"/>
      <c r="D42" s="248"/>
      <c r="E42" s="217"/>
      <c r="F42" s="218"/>
      <c r="G42" s="219"/>
      <c r="H42" s="228" t="s">
        <v>240</v>
      </c>
      <c r="I42" s="179">
        <f>291757500*3.545%</f>
        <v>10342803.375</v>
      </c>
      <c r="K42" s="128"/>
      <c r="L42" s="170"/>
    </row>
    <row r="43" spans="1:12" s="169" customFormat="1" ht="20.100000000000001" customHeight="1" x14ac:dyDescent="0.15">
      <c r="A43" s="194"/>
      <c r="B43" s="178"/>
      <c r="C43" s="178"/>
      <c r="D43" s="234"/>
      <c r="E43" s="217"/>
      <c r="F43" s="218"/>
      <c r="G43" s="219"/>
      <c r="H43" s="152" t="s">
        <v>243</v>
      </c>
      <c r="I43" s="179">
        <f>I42*12.81%</f>
        <v>1324913.1123374999</v>
      </c>
      <c r="J43" s="128"/>
      <c r="K43" s="128"/>
      <c r="L43" s="170"/>
    </row>
    <row r="44" spans="1:12" s="169" customFormat="1" ht="20.100000000000001" customHeight="1" x14ac:dyDescent="0.15">
      <c r="A44" s="194"/>
      <c r="B44" s="178"/>
      <c r="C44" s="178"/>
      <c r="D44" s="234"/>
      <c r="E44" s="217"/>
      <c r="F44" s="218"/>
      <c r="G44" s="219"/>
      <c r="H44" s="152" t="s">
        <v>242</v>
      </c>
      <c r="I44" s="179">
        <f>247962900*1.25%</f>
        <v>3099536.25</v>
      </c>
      <c r="J44" s="170"/>
      <c r="L44" s="170"/>
    </row>
    <row r="45" spans="1:12" s="169" customFormat="1" ht="20.100000000000001" customHeight="1" x14ac:dyDescent="0.15">
      <c r="A45" s="194"/>
      <c r="B45" s="178"/>
      <c r="C45" s="178"/>
      <c r="D45" s="230"/>
      <c r="E45" s="217"/>
      <c r="F45" s="218"/>
      <c r="G45" s="219"/>
      <c r="H45" s="152" t="s">
        <v>241</v>
      </c>
      <c r="I45" s="179">
        <f>247962900*0.76%</f>
        <v>1884518.04</v>
      </c>
      <c r="J45" s="249"/>
      <c r="L45" s="170"/>
    </row>
    <row r="46" spans="1:12" s="169" customFormat="1" ht="20.100000000000001" customHeight="1" x14ac:dyDescent="0.15">
      <c r="A46" s="194"/>
      <c r="B46" s="178"/>
      <c r="C46" s="176" t="s">
        <v>45</v>
      </c>
      <c r="D46" s="227">
        <v>2340000</v>
      </c>
      <c r="E46" s="214">
        <f>I47+I49+I48</f>
        <v>2340000</v>
      </c>
      <c r="F46" s="227">
        <f>E46-D46</f>
        <v>0</v>
      </c>
      <c r="G46" s="161">
        <f>E46/D46*100</f>
        <v>100</v>
      </c>
      <c r="H46" s="142" t="s">
        <v>45</v>
      </c>
      <c r="I46" s="177"/>
      <c r="L46" s="170"/>
    </row>
    <row r="47" spans="1:12" s="169" customFormat="1" ht="20.100000000000001" customHeight="1" x14ac:dyDescent="0.15">
      <c r="A47" s="194"/>
      <c r="B47" s="178"/>
      <c r="C47" s="178"/>
      <c r="D47" s="234"/>
      <c r="E47" s="217"/>
      <c r="F47" s="218"/>
      <c r="G47" s="219"/>
      <c r="H47" s="152" t="s">
        <v>128</v>
      </c>
      <c r="I47" s="179">
        <f>1850000*1</f>
        <v>1850000</v>
      </c>
      <c r="L47" s="170"/>
    </row>
    <row r="48" spans="1:12" s="169" customFormat="1" ht="20.100000000000001" customHeight="1" x14ac:dyDescent="0.15">
      <c r="A48" s="194"/>
      <c r="B48" s="178"/>
      <c r="C48" s="178"/>
      <c r="D48" s="234"/>
      <c r="E48" s="217"/>
      <c r="F48" s="218"/>
      <c r="G48" s="219"/>
      <c r="H48" s="228" t="s">
        <v>129</v>
      </c>
      <c r="I48" s="179">
        <f>90000*1</f>
        <v>90000</v>
      </c>
      <c r="L48" s="170"/>
    </row>
    <row r="49" spans="1:12" s="169" customFormat="1" ht="19.5" customHeight="1" x14ac:dyDescent="0.15">
      <c r="A49" s="194"/>
      <c r="B49" s="178"/>
      <c r="C49" s="182"/>
      <c r="D49" s="230"/>
      <c r="E49" s="217"/>
      <c r="F49" s="229"/>
      <c r="G49" s="226"/>
      <c r="H49" s="228" t="s">
        <v>130</v>
      </c>
      <c r="I49" s="179">
        <f>200000*2</f>
        <v>400000</v>
      </c>
      <c r="L49" s="170"/>
    </row>
    <row r="50" spans="1:12" s="169" customFormat="1" ht="20.100000000000001" customHeight="1" x14ac:dyDescent="0.15">
      <c r="A50" s="191"/>
      <c r="B50" s="198" t="s">
        <v>46</v>
      </c>
      <c r="C50" s="193"/>
      <c r="D50" s="230">
        <v>1440000</v>
      </c>
      <c r="E50" s="211">
        <f>E51+E53</f>
        <v>1640000</v>
      </c>
      <c r="F50" s="230">
        <f t="shared" ref="F50:F53" si="2">E50-D50</f>
        <v>200000</v>
      </c>
      <c r="G50" s="139">
        <f>E50/D50*100</f>
        <v>113.88888888888889</v>
      </c>
      <c r="H50" s="136" t="s">
        <v>46</v>
      </c>
      <c r="I50" s="175"/>
      <c r="L50" s="170"/>
    </row>
    <row r="51" spans="1:12" s="169" customFormat="1" ht="20.100000000000001" customHeight="1" x14ac:dyDescent="0.15">
      <c r="A51" s="194"/>
      <c r="B51" s="178"/>
      <c r="C51" s="250" t="s">
        <v>47</v>
      </c>
      <c r="D51" s="227">
        <v>840000</v>
      </c>
      <c r="E51" s="214">
        <f>I52</f>
        <v>840000</v>
      </c>
      <c r="F51" s="227">
        <f t="shared" si="2"/>
        <v>0</v>
      </c>
      <c r="G51" s="150">
        <f t="shared" ref="G51:G58" si="3">E51/D51*100</f>
        <v>100</v>
      </c>
      <c r="H51" s="142" t="s">
        <v>47</v>
      </c>
      <c r="I51" s="177"/>
      <c r="L51" s="170"/>
    </row>
    <row r="52" spans="1:12" s="169" customFormat="1" ht="20.100000000000001" customHeight="1" x14ac:dyDescent="0.15">
      <c r="A52" s="194"/>
      <c r="B52" s="178"/>
      <c r="C52" s="182"/>
      <c r="D52" s="230"/>
      <c r="E52" s="231"/>
      <c r="F52" s="230"/>
      <c r="G52" s="139"/>
      <c r="H52" s="134" t="s">
        <v>178</v>
      </c>
      <c r="I52" s="184">
        <f>210000*4</f>
        <v>840000</v>
      </c>
      <c r="L52" s="170"/>
    </row>
    <row r="53" spans="1:12" s="169" customFormat="1" ht="20.100000000000001" customHeight="1" x14ac:dyDescent="0.15">
      <c r="A53" s="194"/>
      <c r="B53" s="178"/>
      <c r="C53" s="250" t="s">
        <v>48</v>
      </c>
      <c r="D53" s="227">
        <v>600000</v>
      </c>
      <c r="E53" s="214">
        <f>I54</f>
        <v>800000</v>
      </c>
      <c r="F53" s="227">
        <f t="shared" si="2"/>
        <v>200000</v>
      </c>
      <c r="G53" s="150">
        <f t="shared" si="3"/>
        <v>133.33333333333331</v>
      </c>
      <c r="H53" s="142" t="s">
        <v>48</v>
      </c>
      <c r="I53" s="177"/>
      <c r="L53" s="170"/>
    </row>
    <row r="54" spans="1:12" s="251" customFormat="1" ht="20.100000000000001" customHeight="1" x14ac:dyDescent="0.15">
      <c r="A54" s="200"/>
      <c r="B54" s="202"/>
      <c r="C54" s="201"/>
      <c r="D54" s="232"/>
      <c r="E54" s="221"/>
      <c r="F54" s="232"/>
      <c r="G54" s="233"/>
      <c r="H54" s="224" t="s">
        <v>247</v>
      </c>
      <c r="I54" s="203">
        <f>200000*4</f>
        <v>800000</v>
      </c>
      <c r="L54" s="252"/>
    </row>
    <row r="55" spans="1:12" s="169" customFormat="1" ht="20.100000000000001" customHeight="1" x14ac:dyDescent="0.15">
      <c r="A55" s="191"/>
      <c r="B55" s="192" t="s">
        <v>49</v>
      </c>
      <c r="C55" s="193"/>
      <c r="D55" s="230">
        <v>45499200</v>
      </c>
      <c r="E55" s="231">
        <f>E56+E58+E66+E69+E75+E78</f>
        <v>48349200</v>
      </c>
      <c r="F55" s="230">
        <f t="shared" ref="F55:F58" si="4">E55-D55</f>
        <v>2850000</v>
      </c>
      <c r="G55" s="139">
        <f t="shared" si="3"/>
        <v>106.26384639729929</v>
      </c>
      <c r="H55" s="134" t="s">
        <v>49</v>
      </c>
      <c r="I55" s="184"/>
      <c r="L55" s="170"/>
    </row>
    <row r="56" spans="1:12" s="169" customFormat="1" ht="20.100000000000001" customHeight="1" x14ac:dyDescent="0.15">
      <c r="A56" s="194"/>
      <c r="B56" s="178"/>
      <c r="C56" s="176" t="s">
        <v>50</v>
      </c>
      <c r="D56" s="227">
        <v>400000</v>
      </c>
      <c r="E56" s="214">
        <f>I57</f>
        <v>400000</v>
      </c>
      <c r="F56" s="227">
        <f t="shared" si="4"/>
        <v>0</v>
      </c>
      <c r="G56" s="161">
        <f t="shared" si="3"/>
        <v>100</v>
      </c>
      <c r="H56" s="142" t="s">
        <v>50</v>
      </c>
      <c r="I56" s="177"/>
      <c r="L56" s="170"/>
    </row>
    <row r="57" spans="1:12" s="169" customFormat="1" ht="20.100000000000001" customHeight="1" x14ac:dyDescent="0.15">
      <c r="A57" s="194"/>
      <c r="B57" s="183"/>
      <c r="C57" s="178"/>
      <c r="D57" s="234"/>
      <c r="E57" s="217"/>
      <c r="F57" s="234"/>
      <c r="G57" s="160"/>
      <c r="H57" s="134" t="s">
        <v>175</v>
      </c>
      <c r="I57" s="184">
        <f>100000*4</f>
        <v>400000</v>
      </c>
      <c r="L57" s="170"/>
    </row>
    <row r="58" spans="1:12" s="169" customFormat="1" ht="20.100000000000001" customHeight="1" x14ac:dyDescent="0.15">
      <c r="A58" s="194"/>
      <c r="B58" s="178"/>
      <c r="C58" s="323" t="s">
        <v>51</v>
      </c>
      <c r="D58" s="227">
        <v>18959200</v>
      </c>
      <c r="E58" s="214">
        <f>SUM(I59:I65)</f>
        <v>18959200</v>
      </c>
      <c r="F58" s="227">
        <f t="shared" si="4"/>
        <v>0</v>
      </c>
      <c r="G58" s="161">
        <f t="shared" si="3"/>
        <v>100</v>
      </c>
      <c r="H58" s="142" t="s">
        <v>51</v>
      </c>
      <c r="I58" s="177"/>
      <c r="L58" s="170"/>
    </row>
    <row r="59" spans="1:12" s="169" customFormat="1" ht="20.100000000000001" customHeight="1" x14ac:dyDescent="0.15">
      <c r="A59" s="194"/>
      <c r="B59" s="178"/>
      <c r="C59" s="324"/>
      <c r="D59" s="234"/>
      <c r="E59" s="217"/>
      <c r="F59" s="234"/>
      <c r="G59" s="219"/>
      <c r="H59" s="235" t="s">
        <v>134</v>
      </c>
      <c r="I59" s="179">
        <f>340600*8</f>
        <v>2724800</v>
      </c>
      <c r="L59" s="170"/>
    </row>
    <row r="60" spans="1:12" s="169" customFormat="1" ht="20.100000000000001" customHeight="1" x14ac:dyDescent="0.15">
      <c r="A60" s="191"/>
      <c r="B60" s="183"/>
      <c r="C60" s="178"/>
      <c r="D60" s="234"/>
      <c r="E60" s="217"/>
      <c r="F60" s="234"/>
      <c r="G60" s="219"/>
      <c r="H60" s="152" t="s">
        <v>135</v>
      </c>
      <c r="I60" s="179">
        <f>204600*12</f>
        <v>2455200</v>
      </c>
      <c r="L60" s="170"/>
    </row>
    <row r="61" spans="1:12" s="169" customFormat="1" ht="20.100000000000001" customHeight="1" x14ac:dyDescent="0.15">
      <c r="A61" s="194"/>
      <c r="B61" s="183"/>
      <c r="C61" s="178"/>
      <c r="D61" s="234"/>
      <c r="E61" s="217"/>
      <c r="F61" s="234"/>
      <c r="G61" s="219"/>
      <c r="H61" s="236" t="s">
        <v>138</v>
      </c>
      <c r="I61" s="179">
        <f>204600*12</f>
        <v>2455200</v>
      </c>
      <c r="L61" s="170"/>
    </row>
    <row r="62" spans="1:12" s="169" customFormat="1" ht="20.100000000000001" customHeight="1" x14ac:dyDescent="0.15">
      <c r="A62" s="194"/>
      <c r="B62" s="183"/>
      <c r="C62" s="178"/>
      <c r="D62" s="234"/>
      <c r="E62" s="217"/>
      <c r="F62" s="234"/>
      <c r="G62" s="219"/>
      <c r="H62" s="152" t="s">
        <v>112</v>
      </c>
      <c r="I62" s="179">
        <f>300000*4</f>
        <v>1200000</v>
      </c>
      <c r="L62" s="170"/>
    </row>
    <row r="63" spans="1:12" s="169" customFormat="1" ht="20.100000000000001" customHeight="1" x14ac:dyDescent="0.15">
      <c r="A63" s="194"/>
      <c r="B63" s="183"/>
      <c r="C63" s="178"/>
      <c r="D63" s="234"/>
      <c r="E63" s="217"/>
      <c r="F63" s="234"/>
      <c r="G63" s="219"/>
      <c r="H63" s="152" t="s">
        <v>120</v>
      </c>
      <c r="I63" s="179">
        <f>500000*12</f>
        <v>6000000</v>
      </c>
      <c r="L63" s="170"/>
    </row>
    <row r="64" spans="1:12" s="169" customFormat="1" ht="20.100000000000001" customHeight="1" x14ac:dyDescent="0.15">
      <c r="A64" s="194"/>
      <c r="B64" s="183"/>
      <c r="C64" s="178"/>
      <c r="D64" s="234"/>
      <c r="E64" s="217"/>
      <c r="F64" s="234"/>
      <c r="G64" s="219"/>
      <c r="H64" s="152" t="s">
        <v>71</v>
      </c>
      <c r="I64" s="179">
        <f>77000*12</f>
        <v>924000</v>
      </c>
      <c r="L64" s="170"/>
    </row>
    <row r="65" spans="1:12" s="169" customFormat="1" ht="20.100000000000001" customHeight="1" x14ac:dyDescent="0.15">
      <c r="A65" s="194"/>
      <c r="B65" s="183"/>
      <c r="C65" s="178"/>
      <c r="D65" s="234"/>
      <c r="E65" s="217"/>
      <c r="F65" s="234"/>
      <c r="G65" s="219"/>
      <c r="H65" s="152" t="s">
        <v>205</v>
      </c>
      <c r="I65" s="179">
        <f>3200000*1</f>
        <v>3200000</v>
      </c>
      <c r="L65" s="170"/>
    </row>
    <row r="66" spans="1:12" s="169" customFormat="1" ht="20.100000000000001" customHeight="1" x14ac:dyDescent="0.15">
      <c r="A66" s="194"/>
      <c r="B66" s="178"/>
      <c r="C66" s="176" t="s">
        <v>52</v>
      </c>
      <c r="D66" s="227">
        <v>6840000</v>
      </c>
      <c r="E66" s="214">
        <f>I67+I68</f>
        <v>6840000</v>
      </c>
      <c r="F66" s="227">
        <f t="shared" ref="F66" si="5">E66-D66</f>
        <v>0</v>
      </c>
      <c r="G66" s="161">
        <f t="shared" ref="G66" si="6">E66/D66*100</f>
        <v>100</v>
      </c>
      <c r="H66" s="142" t="s">
        <v>52</v>
      </c>
      <c r="I66" s="177"/>
      <c r="L66" s="170"/>
    </row>
    <row r="67" spans="1:12" s="169" customFormat="1" ht="20.100000000000001" customHeight="1" x14ac:dyDescent="0.15">
      <c r="A67" s="194"/>
      <c r="B67" s="183"/>
      <c r="C67" s="178"/>
      <c r="D67" s="234"/>
      <c r="E67" s="217"/>
      <c r="F67" s="234"/>
      <c r="G67" s="219"/>
      <c r="H67" s="152" t="s">
        <v>119</v>
      </c>
      <c r="I67" s="179">
        <f>70000*12</f>
        <v>840000</v>
      </c>
      <c r="L67" s="170"/>
    </row>
    <row r="68" spans="1:12" s="169" customFormat="1" ht="20.100000000000001" customHeight="1" x14ac:dyDescent="0.15">
      <c r="A68" s="194"/>
      <c r="B68" s="183"/>
      <c r="C68" s="178"/>
      <c r="D68" s="234"/>
      <c r="E68" s="217"/>
      <c r="F68" s="234"/>
      <c r="G68" s="219"/>
      <c r="H68" s="152" t="s">
        <v>186</v>
      </c>
      <c r="I68" s="184">
        <f>500000*12</f>
        <v>6000000</v>
      </c>
      <c r="L68" s="170"/>
    </row>
    <row r="69" spans="1:12" s="169" customFormat="1" ht="20.100000000000001" customHeight="1" x14ac:dyDescent="0.15">
      <c r="A69" s="194"/>
      <c r="B69" s="183"/>
      <c r="C69" s="176" t="s">
        <v>53</v>
      </c>
      <c r="D69" s="227">
        <v>5540000</v>
      </c>
      <c r="E69" s="214">
        <f>I70+I71+I72+I73+I74</f>
        <v>5540000</v>
      </c>
      <c r="F69" s="227">
        <f t="shared" ref="F69" si="7">E69-D69</f>
        <v>0</v>
      </c>
      <c r="G69" s="161">
        <f t="shared" ref="G69" si="8">E69/D69*100</f>
        <v>100</v>
      </c>
      <c r="H69" s="142" t="s">
        <v>53</v>
      </c>
      <c r="I69" s="179"/>
      <c r="L69" s="170"/>
    </row>
    <row r="70" spans="1:12" s="169" customFormat="1" ht="20.100000000000001" customHeight="1" x14ac:dyDescent="0.15">
      <c r="A70" s="194"/>
      <c r="B70" s="183"/>
      <c r="C70" s="178"/>
      <c r="D70" s="234"/>
      <c r="E70" s="217"/>
      <c r="F70" s="234"/>
      <c r="G70" s="219"/>
      <c r="H70" s="152" t="s">
        <v>110</v>
      </c>
      <c r="I70" s="179">
        <f>50000*2</f>
        <v>100000</v>
      </c>
      <c r="L70" s="170"/>
    </row>
    <row r="71" spans="1:12" s="169" customFormat="1" ht="20.100000000000001" customHeight="1" x14ac:dyDescent="0.15">
      <c r="A71" s="194"/>
      <c r="B71" s="183"/>
      <c r="C71" s="178"/>
      <c r="D71" s="234"/>
      <c r="E71" s="217"/>
      <c r="F71" s="234"/>
      <c r="G71" s="219"/>
      <c r="H71" s="152" t="s">
        <v>150</v>
      </c>
      <c r="I71" s="179">
        <f>500000*2</f>
        <v>1000000</v>
      </c>
      <c r="L71" s="170"/>
    </row>
    <row r="72" spans="1:12" s="169" customFormat="1" ht="20.100000000000001" customHeight="1" x14ac:dyDescent="0.15">
      <c r="A72" s="194"/>
      <c r="B72" s="183"/>
      <c r="C72" s="178"/>
      <c r="D72" s="234"/>
      <c r="E72" s="217"/>
      <c r="F72" s="234"/>
      <c r="G72" s="219"/>
      <c r="H72" s="152" t="s">
        <v>151</v>
      </c>
      <c r="I72" s="179">
        <f>300000*4</f>
        <v>1200000</v>
      </c>
      <c r="L72" s="170"/>
    </row>
    <row r="73" spans="1:12" s="169" customFormat="1" ht="20.100000000000001" customHeight="1" x14ac:dyDescent="0.15">
      <c r="A73" s="194"/>
      <c r="B73" s="183"/>
      <c r="C73" s="178"/>
      <c r="D73" s="234"/>
      <c r="E73" s="217"/>
      <c r="F73" s="234"/>
      <c r="G73" s="219"/>
      <c r="H73" s="152" t="s">
        <v>176</v>
      </c>
      <c r="I73" s="179">
        <f>1000000*3</f>
        <v>3000000</v>
      </c>
      <c r="L73" s="170"/>
    </row>
    <row r="74" spans="1:12" s="169" customFormat="1" ht="20.100000000000001" customHeight="1" x14ac:dyDescent="0.15">
      <c r="A74" s="194"/>
      <c r="B74" s="183"/>
      <c r="C74" s="182"/>
      <c r="D74" s="230"/>
      <c r="E74" s="231"/>
      <c r="F74" s="230"/>
      <c r="G74" s="226"/>
      <c r="H74" s="134" t="s">
        <v>141</v>
      </c>
      <c r="I74" s="184">
        <f>80000*3</f>
        <v>240000</v>
      </c>
      <c r="L74" s="170"/>
    </row>
    <row r="75" spans="1:12" s="169" customFormat="1" ht="20.100000000000001" customHeight="1" x14ac:dyDescent="0.15">
      <c r="A75" s="191"/>
      <c r="B75" s="178"/>
      <c r="C75" s="178" t="s">
        <v>54</v>
      </c>
      <c r="D75" s="234">
        <v>9600000</v>
      </c>
      <c r="E75" s="217">
        <f>I76+I77</f>
        <v>9600000</v>
      </c>
      <c r="F75" s="234">
        <f t="shared" ref="F75" si="9">E75-D75</f>
        <v>0</v>
      </c>
      <c r="G75" s="151">
        <f t="shared" ref="G75" si="10">E75/D75*100</f>
        <v>100</v>
      </c>
      <c r="H75" s="152" t="s">
        <v>54</v>
      </c>
      <c r="I75" s="179"/>
      <c r="L75" s="170"/>
    </row>
    <row r="76" spans="1:12" s="169" customFormat="1" ht="20.100000000000001" customHeight="1" x14ac:dyDescent="0.15">
      <c r="A76" s="194"/>
      <c r="B76" s="183"/>
      <c r="C76" s="178"/>
      <c r="D76" s="234"/>
      <c r="E76" s="217"/>
      <c r="F76" s="234"/>
      <c r="G76" s="219"/>
      <c r="H76" s="152" t="s">
        <v>142</v>
      </c>
      <c r="I76" s="179">
        <f>600000*12</f>
        <v>7200000</v>
      </c>
      <c r="L76" s="170"/>
    </row>
    <row r="77" spans="1:12" s="169" customFormat="1" ht="20.100000000000001" customHeight="1" x14ac:dyDescent="0.15">
      <c r="A77" s="194"/>
      <c r="B77" s="183"/>
      <c r="C77" s="178"/>
      <c r="D77" s="234"/>
      <c r="E77" s="217"/>
      <c r="F77" s="234"/>
      <c r="G77" s="226"/>
      <c r="H77" s="152" t="s">
        <v>147</v>
      </c>
      <c r="I77" s="184">
        <f>200000*3*4</f>
        <v>2400000</v>
      </c>
      <c r="L77" s="170"/>
    </row>
    <row r="78" spans="1:12" s="169" customFormat="1" ht="20.100000000000001" customHeight="1" x14ac:dyDescent="0.15">
      <c r="A78" s="194"/>
      <c r="B78" s="183"/>
      <c r="C78" s="176" t="s">
        <v>55</v>
      </c>
      <c r="D78" s="227">
        <v>4160000</v>
      </c>
      <c r="E78" s="214">
        <f>I79+I80+I81</f>
        <v>7010000</v>
      </c>
      <c r="F78" s="227">
        <f t="shared" ref="F78" si="11">E78-D78</f>
        <v>2850000</v>
      </c>
      <c r="G78" s="161">
        <f t="shared" ref="G78" si="12">E78/D78*100</f>
        <v>168.50961538461539</v>
      </c>
      <c r="H78" s="142" t="s">
        <v>55</v>
      </c>
      <c r="I78" s="179"/>
      <c r="L78" s="170"/>
    </row>
    <row r="79" spans="1:12" s="169" customFormat="1" ht="20.100000000000001" customHeight="1" x14ac:dyDescent="0.15">
      <c r="A79" s="194"/>
      <c r="B79" s="183"/>
      <c r="C79" s="178"/>
      <c r="D79" s="234"/>
      <c r="E79" s="217"/>
      <c r="F79" s="234"/>
      <c r="G79" s="219"/>
      <c r="H79" s="152" t="s">
        <v>244</v>
      </c>
      <c r="I79" s="179">
        <f>500000*12</f>
        <v>6000000</v>
      </c>
      <c r="L79" s="170"/>
    </row>
    <row r="80" spans="1:12" s="169" customFormat="1" ht="20.100000000000001" customHeight="1" x14ac:dyDescent="0.15">
      <c r="A80" s="194"/>
      <c r="B80" s="183"/>
      <c r="C80" s="178"/>
      <c r="D80" s="234"/>
      <c r="E80" s="217"/>
      <c r="F80" s="234"/>
      <c r="G80" s="219"/>
      <c r="H80" s="152" t="s">
        <v>246</v>
      </c>
      <c r="I80" s="179">
        <f>100000*9</f>
        <v>900000</v>
      </c>
      <c r="L80" s="170"/>
    </row>
    <row r="81" spans="1:12" s="251" customFormat="1" ht="20.100000000000001" customHeight="1" x14ac:dyDescent="0.15">
      <c r="A81" s="200"/>
      <c r="B81" s="202"/>
      <c r="C81" s="201"/>
      <c r="D81" s="232"/>
      <c r="E81" s="221"/>
      <c r="F81" s="232"/>
      <c r="G81" s="223"/>
      <c r="H81" s="224" t="s">
        <v>177</v>
      </c>
      <c r="I81" s="203">
        <f>55000*2</f>
        <v>110000</v>
      </c>
      <c r="L81" s="252"/>
    </row>
    <row r="82" spans="1:12" s="169" customFormat="1" ht="20.100000000000001" customHeight="1" x14ac:dyDescent="0.15">
      <c r="A82" s="253" t="s">
        <v>27</v>
      </c>
      <c r="B82" s="245"/>
      <c r="C82" s="193"/>
      <c r="D82" s="229">
        <v>4709996</v>
      </c>
      <c r="E82" s="237">
        <f>E83</f>
        <v>5059996</v>
      </c>
      <c r="F82" s="229">
        <f t="shared" si="0"/>
        <v>350000</v>
      </c>
      <c r="G82" s="277">
        <f t="shared" ref="G82:G101" si="13">E82/D82*100</f>
        <v>107.43100418768934</v>
      </c>
      <c r="H82" s="134" t="s">
        <v>27</v>
      </c>
      <c r="I82" s="254"/>
      <c r="L82" s="170"/>
    </row>
    <row r="83" spans="1:12" s="169" customFormat="1" ht="20.100000000000001" customHeight="1" x14ac:dyDescent="0.15">
      <c r="A83" s="312"/>
      <c r="B83" s="198" t="s">
        <v>28</v>
      </c>
      <c r="C83" s="197"/>
      <c r="D83" s="212">
        <v>4709996</v>
      </c>
      <c r="E83" s="211">
        <f>E84+E87</f>
        <v>5059996</v>
      </c>
      <c r="F83" s="212">
        <f t="shared" si="0"/>
        <v>350000</v>
      </c>
      <c r="G83" s="139">
        <f t="shared" si="13"/>
        <v>107.43100418768934</v>
      </c>
      <c r="H83" s="136" t="s">
        <v>28</v>
      </c>
      <c r="I83" s="175"/>
      <c r="L83" s="170"/>
    </row>
    <row r="84" spans="1:12" s="169" customFormat="1" ht="20.100000000000001" customHeight="1" x14ac:dyDescent="0.15">
      <c r="A84" s="312"/>
      <c r="B84" s="181"/>
      <c r="C84" s="176" t="s">
        <v>29</v>
      </c>
      <c r="D84" s="227">
        <v>3359996</v>
      </c>
      <c r="E84" s="214">
        <f>I85+I86</f>
        <v>3359996</v>
      </c>
      <c r="F84" s="227">
        <f t="shared" si="0"/>
        <v>0</v>
      </c>
      <c r="G84" s="150">
        <f t="shared" si="13"/>
        <v>100</v>
      </c>
      <c r="H84" s="238" t="s">
        <v>29</v>
      </c>
      <c r="I84" s="255"/>
      <c r="L84" s="170"/>
    </row>
    <row r="85" spans="1:12" s="169" customFormat="1" ht="20.100000000000001" customHeight="1" x14ac:dyDescent="0.15">
      <c r="A85" s="180"/>
      <c r="B85" s="256"/>
      <c r="C85" s="178"/>
      <c r="D85" s="234"/>
      <c r="E85" s="217"/>
      <c r="F85" s="234"/>
      <c r="G85" s="150"/>
      <c r="H85" s="239" t="s">
        <v>143</v>
      </c>
      <c r="I85" s="179">
        <f>250000*2</f>
        <v>500000</v>
      </c>
      <c r="L85" s="170"/>
    </row>
    <row r="86" spans="1:12" s="169" customFormat="1" ht="20.100000000000001" customHeight="1" x14ac:dyDescent="0.15">
      <c r="A86" s="180"/>
      <c r="B86" s="181"/>
      <c r="C86" s="182"/>
      <c r="D86" s="230"/>
      <c r="E86" s="231"/>
      <c r="F86" s="230"/>
      <c r="G86" s="160"/>
      <c r="H86" s="236" t="s">
        <v>133</v>
      </c>
      <c r="I86" s="184">
        <f>238333*12</f>
        <v>2859996</v>
      </c>
      <c r="L86" s="170"/>
    </row>
    <row r="87" spans="1:12" s="169" customFormat="1" ht="20.100000000000001" customHeight="1" x14ac:dyDescent="0.15">
      <c r="A87" s="257"/>
      <c r="B87" s="256"/>
      <c r="C87" s="258" t="s">
        <v>99</v>
      </c>
      <c r="D87" s="234">
        <v>1350000</v>
      </c>
      <c r="E87" s="217">
        <f>I88+I90+I89</f>
        <v>1700000</v>
      </c>
      <c r="F87" s="234">
        <f t="shared" si="0"/>
        <v>350000</v>
      </c>
      <c r="G87" s="151">
        <f t="shared" si="13"/>
        <v>125.92592592592592</v>
      </c>
      <c r="H87" s="238" t="s">
        <v>99</v>
      </c>
      <c r="I87" s="177"/>
      <c r="L87" s="170"/>
    </row>
    <row r="88" spans="1:12" s="169" customFormat="1" ht="20.100000000000001" customHeight="1" x14ac:dyDescent="0.15">
      <c r="A88" s="180"/>
      <c r="B88" s="181"/>
      <c r="C88" s="259"/>
      <c r="D88" s="234"/>
      <c r="E88" s="217"/>
      <c r="F88" s="234"/>
      <c r="G88" s="150"/>
      <c r="H88" s="236" t="s">
        <v>211</v>
      </c>
      <c r="I88" s="179">
        <f>100000*1</f>
        <v>100000</v>
      </c>
      <c r="L88" s="170"/>
    </row>
    <row r="89" spans="1:12" s="169" customFormat="1" ht="20.100000000000001" customHeight="1" x14ac:dyDescent="0.15">
      <c r="A89" s="180"/>
      <c r="B89" s="181"/>
      <c r="C89" s="259"/>
      <c r="D89" s="234"/>
      <c r="E89" s="217"/>
      <c r="F89" s="234"/>
      <c r="G89" s="150"/>
      <c r="H89" s="236" t="s">
        <v>245</v>
      </c>
      <c r="I89" s="179">
        <f>1500000*1</f>
        <v>1500000</v>
      </c>
      <c r="L89" s="170"/>
    </row>
    <row r="90" spans="1:12" s="169" customFormat="1" ht="20.100000000000001" customHeight="1" x14ac:dyDescent="0.15">
      <c r="A90" s="180"/>
      <c r="B90" s="260"/>
      <c r="C90" s="182"/>
      <c r="D90" s="234"/>
      <c r="E90" s="217"/>
      <c r="F90" s="234"/>
      <c r="G90" s="139"/>
      <c r="H90" s="236" t="s">
        <v>212</v>
      </c>
      <c r="I90" s="184">
        <f>100000*1</f>
        <v>100000</v>
      </c>
      <c r="L90" s="170"/>
    </row>
    <row r="91" spans="1:12" s="169" customFormat="1" ht="20.100000000000001" customHeight="1" x14ac:dyDescent="0.15">
      <c r="A91" s="195" t="s">
        <v>56</v>
      </c>
      <c r="B91" s="245"/>
      <c r="C91" s="197"/>
      <c r="D91" s="209">
        <v>45041000</v>
      </c>
      <c r="E91" s="208">
        <f>E92+E98+E129</f>
        <v>45821000</v>
      </c>
      <c r="F91" s="209">
        <f t="shared" ref="F91:F92" si="14">E91-D91</f>
        <v>780000</v>
      </c>
      <c r="G91" s="278">
        <f t="shared" si="13"/>
        <v>101.73175551164495</v>
      </c>
      <c r="H91" s="136" t="s">
        <v>56</v>
      </c>
      <c r="I91" s="175"/>
      <c r="L91" s="170"/>
    </row>
    <row r="92" spans="1:12" s="169" customFormat="1" ht="20.100000000000001" customHeight="1" x14ac:dyDescent="0.15">
      <c r="A92" s="194"/>
      <c r="B92" s="198" t="s">
        <v>49</v>
      </c>
      <c r="C92" s="197"/>
      <c r="D92" s="212">
        <v>26008000</v>
      </c>
      <c r="E92" s="211">
        <f>E93+E96</f>
        <v>26508000</v>
      </c>
      <c r="F92" s="212">
        <f t="shared" si="14"/>
        <v>500000</v>
      </c>
      <c r="G92" s="139">
        <f t="shared" si="13"/>
        <v>101.92248538911105</v>
      </c>
      <c r="H92" s="136" t="s">
        <v>49</v>
      </c>
      <c r="I92" s="175"/>
      <c r="L92" s="170"/>
    </row>
    <row r="93" spans="1:12" s="169" customFormat="1" ht="20.100000000000001" customHeight="1" x14ac:dyDescent="0.15">
      <c r="A93" s="194"/>
      <c r="B93" s="178"/>
      <c r="C93" s="176" t="s">
        <v>57</v>
      </c>
      <c r="D93" s="227">
        <v>25808000</v>
      </c>
      <c r="E93" s="214">
        <f>I94+I95</f>
        <v>26308000</v>
      </c>
      <c r="F93" s="227">
        <f>E93-D93</f>
        <v>500000</v>
      </c>
      <c r="G93" s="161">
        <f t="shared" si="13"/>
        <v>101.93738375697458</v>
      </c>
      <c r="H93" s="152" t="s">
        <v>57</v>
      </c>
      <c r="I93" s="179"/>
      <c r="L93" s="170"/>
    </row>
    <row r="94" spans="1:12" s="169" customFormat="1" ht="20.100000000000001" customHeight="1" x14ac:dyDescent="0.15">
      <c r="A94" s="194"/>
      <c r="B94" s="178"/>
      <c r="C94" s="178"/>
      <c r="D94" s="234"/>
      <c r="E94" s="217"/>
      <c r="F94" s="234"/>
      <c r="G94" s="151"/>
      <c r="H94" s="152" t="s">
        <v>171</v>
      </c>
      <c r="I94" s="179">
        <f>2400*40*248</f>
        <v>23808000</v>
      </c>
      <c r="L94" s="170"/>
    </row>
    <row r="95" spans="1:12" s="169" customFormat="1" ht="20.100000000000001" customHeight="1" x14ac:dyDescent="0.15">
      <c r="A95" s="194"/>
      <c r="B95" s="178"/>
      <c r="C95" s="182"/>
      <c r="D95" s="230"/>
      <c r="E95" s="231"/>
      <c r="F95" s="230"/>
      <c r="G95" s="160"/>
      <c r="H95" s="134" t="s">
        <v>210</v>
      </c>
      <c r="I95" s="184">
        <f>2500000*1</f>
        <v>2500000</v>
      </c>
      <c r="L95" s="170"/>
    </row>
    <row r="96" spans="1:12" s="169" customFormat="1" ht="20.100000000000001" customHeight="1" x14ac:dyDescent="0.15">
      <c r="A96" s="194"/>
      <c r="B96" s="178"/>
      <c r="C96" s="176" t="s">
        <v>58</v>
      </c>
      <c r="D96" s="227">
        <v>200000</v>
      </c>
      <c r="E96" s="214">
        <f>I97</f>
        <v>200000</v>
      </c>
      <c r="F96" s="227">
        <f>E96-D96</f>
        <v>0</v>
      </c>
      <c r="G96" s="161">
        <f t="shared" si="13"/>
        <v>100</v>
      </c>
      <c r="H96" s="142" t="s">
        <v>58</v>
      </c>
      <c r="I96" s="177"/>
      <c r="L96" s="170"/>
    </row>
    <row r="97" spans="1:12" s="169" customFormat="1" ht="20.100000000000001" customHeight="1" x14ac:dyDescent="0.15">
      <c r="A97" s="194"/>
      <c r="B97" s="192"/>
      <c r="C97" s="182"/>
      <c r="D97" s="230"/>
      <c r="E97" s="231"/>
      <c r="F97" s="230"/>
      <c r="G97" s="139"/>
      <c r="H97" s="134" t="s">
        <v>152</v>
      </c>
      <c r="I97" s="184">
        <f>100000*2</f>
        <v>200000</v>
      </c>
      <c r="L97" s="170"/>
    </row>
    <row r="98" spans="1:12" s="169" customFormat="1" ht="19.5" customHeight="1" x14ac:dyDescent="0.15">
      <c r="A98" s="191"/>
      <c r="B98" s="183" t="s">
        <v>56</v>
      </c>
      <c r="C98" s="193"/>
      <c r="D98" s="234">
        <v>10610000</v>
      </c>
      <c r="E98" s="217">
        <f>E99+E101+E110+E112+E115+E127</f>
        <v>10690000</v>
      </c>
      <c r="F98" s="234">
        <f t="shared" ref="F98" si="15">E98-D98</f>
        <v>80000</v>
      </c>
      <c r="G98" s="150">
        <f t="shared" si="13"/>
        <v>100.75400565504242</v>
      </c>
      <c r="H98" s="152" t="s">
        <v>56</v>
      </c>
      <c r="I98" s="184"/>
      <c r="L98" s="170"/>
    </row>
    <row r="99" spans="1:12" s="169" customFormat="1" ht="19.5" customHeight="1" x14ac:dyDescent="0.15">
      <c r="A99" s="191"/>
      <c r="B99" s="176"/>
      <c r="C99" s="178" t="s">
        <v>106</v>
      </c>
      <c r="D99" s="227">
        <v>1000000</v>
      </c>
      <c r="E99" s="214">
        <f>I100</f>
        <v>1000000</v>
      </c>
      <c r="F99" s="227">
        <f>E99-D99</f>
        <v>0</v>
      </c>
      <c r="G99" s="161">
        <f t="shared" si="13"/>
        <v>100</v>
      </c>
      <c r="H99" s="142" t="s">
        <v>106</v>
      </c>
      <c r="I99" s="179"/>
      <c r="L99" s="170"/>
    </row>
    <row r="100" spans="1:12" s="169" customFormat="1" ht="19.5" customHeight="1" x14ac:dyDescent="0.15">
      <c r="A100" s="194"/>
      <c r="B100" s="183"/>
      <c r="C100" s="182"/>
      <c r="D100" s="230"/>
      <c r="E100" s="231"/>
      <c r="F100" s="230"/>
      <c r="G100" s="139"/>
      <c r="H100" s="134" t="s">
        <v>184</v>
      </c>
      <c r="I100" s="179">
        <f>500000*2</f>
        <v>1000000</v>
      </c>
      <c r="L100" s="170"/>
    </row>
    <row r="101" spans="1:12" s="169" customFormat="1" ht="20.100000000000001" customHeight="1" x14ac:dyDescent="0.15">
      <c r="A101" s="194"/>
      <c r="B101" s="178"/>
      <c r="C101" s="323" t="s">
        <v>102</v>
      </c>
      <c r="D101" s="234">
        <v>2760000</v>
      </c>
      <c r="E101" s="217">
        <f>I102+I103+I104+I105+I106+I107+I108+I109</f>
        <v>2760000</v>
      </c>
      <c r="F101" s="234">
        <f t="shared" ref="F101" si="16">E101-D101</f>
        <v>0</v>
      </c>
      <c r="G101" s="161">
        <f t="shared" si="13"/>
        <v>100</v>
      </c>
      <c r="H101" s="240" t="s">
        <v>102</v>
      </c>
      <c r="I101" s="177"/>
      <c r="L101" s="170"/>
    </row>
    <row r="102" spans="1:12" s="169" customFormat="1" ht="20.100000000000001" customHeight="1" x14ac:dyDescent="0.15">
      <c r="A102" s="194"/>
      <c r="B102" s="178"/>
      <c r="C102" s="324"/>
      <c r="D102" s="234"/>
      <c r="E102" s="217"/>
      <c r="F102" s="218"/>
      <c r="G102" s="219"/>
      <c r="H102" s="152" t="s">
        <v>162</v>
      </c>
      <c r="I102" s="179">
        <f>25000*4</f>
        <v>100000</v>
      </c>
      <c r="L102" s="170"/>
    </row>
    <row r="103" spans="1:12" s="169" customFormat="1" ht="20.100000000000001" customHeight="1" x14ac:dyDescent="0.15">
      <c r="A103" s="194"/>
      <c r="B103" s="178"/>
      <c r="C103" s="259"/>
      <c r="D103" s="234"/>
      <c r="E103" s="217"/>
      <c r="F103" s="218"/>
      <c r="G103" s="219"/>
      <c r="H103" s="152" t="s">
        <v>163</v>
      </c>
      <c r="I103" s="179">
        <f>75000*12</f>
        <v>900000</v>
      </c>
      <c r="L103" s="170"/>
    </row>
    <row r="104" spans="1:12" s="169" customFormat="1" ht="20.100000000000001" customHeight="1" x14ac:dyDescent="0.15">
      <c r="A104" s="194"/>
      <c r="B104" s="178"/>
      <c r="C104" s="259"/>
      <c r="D104" s="234"/>
      <c r="E104" s="217"/>
      <c r="F104" s="218"/>
      <c r="G104" s="219"/>
      <c r="H104" s="152" t="s">
        <v>159</v>
      </c>
      <c r="I104" s="179">
        <f>50000*12</f>
        <v>600000</v>
      </c>
      <c r="L104" s="170"/>
    </row>
    <row r="105" spans="1:12" s="169" customFormat="1" ht="20.100000000000001" customHeight="1" x14ac:dyDescent="0.15">
      <c r="A105" s="194"/>
      <c r="B105" s="178"/>
      <c r="C105" s="259"/>
      <c r="D105" s="234"/>
      <c r="E105" s="217"/>
      <c r="F105" s="218"/>
      <c r="G105" s="219"/>
      <c r="H105" s="152" t="s">
        <v>153</v>
      </c>
      <c r="I105" s="179">
        <f>50000*2</f>
        <v>100000</v>
      </c>
      <c r="L105" s="170"/>
    </row>
    <row r="106" spans="1:12" s="169" customFormat="1" ht="20.100000000000001" customHeight="1" x14ac:dyDescent="0.15">
      <c r="A106" s="194"/>
      <c r="B106" s="178"/>
      <c r="C106" s="259"/>
      <c r="D106" s="234"/>
      <c r="E106" s="217"/>
      <c r="F106" s="218"/>
      <c r="G106" s="219"/>
      <c r="H106" s="152" t="s">
        <v>154</v>
      </c>
      <c r="I106" s="179">
        <f>100000*2</f>
        <v>200000</v>
      </c>
      <c r="L106" s="170"/>
    </row>
    <row r="107" spans="1:12" s="169" customFormat="1" ht="20.100000000000001" customHeight="1" x14ac:dyDescent="0.15">
      <c r="A107" s="191"/>
      <c r="B107" s="178"/>
      <c r="C107" s="259"/>
      <c r="D107" s="234"/>
      <c r="E107" s="217"/>
      <c r="F107" s="218"/>
      <c r="G107" s="219"/>
      <c r="H107" s="152" t="s">
        <v>157</v>
      </c>
      <c r="I107" s="179">
        <f>50000*12</f>
        <v>600000</v>
      </c>
      <c r="L107" s="170"/>
    </row>
    <row r="108" spans="1:12" s="169" customFormat="1" ht="20.100000000000001" customHeight="1" x14ac:dyDescent="0.15">
      <c r="A108" s="194"/>
      <c r="B108" s="178"/>
      <c r="C108" s="259"/>
      <c r="D108" s="234"/>
      <c r="E108" s="217"/>
      <c r="F108" s="218"/>
      <c r="G108" s="219"/>
      <c r="H108" s="152" t="s">
        <v>155</v>
      </c>
      <c r="I108" s="179">
        <f>20000*3</f>
        <v>60000</v>
      </c>
      <c r="L108" s="170"/>
    </row>
    <row r="109" spans="1:12" s="251" customFormat="1" ht="20.100000000000001" customHeight="1" x14ac:dyDescent="0.15">
      <c r="A109" s="200"/>
      <c r="B109" s="201"/>
      <c r="C109" s="261"/>
      <c r="D109" s="232"/>
      <c r="E109" s="221"/>
      <c r="F109" s="222"/>
      <c r="G109" s="223"/>
      <c r="H109" s="224" t="s">
        <v>156</v>
      </c>
      <c r="I109" s="203">
        <f>50000*4</f>
        <v>200000</v>
      </c>
      <c r="L109" s="252"/>
    </row>
    <row r="110" spans="1:12" s="169" customFormat="1" ht="20.100000000000001" customHeight="1" x14ac:dyDescent="0.15">
      <c r="A110" s="191"/>
      <c r="B110" s="178"/>
      <c r="C110" s="325" t="s">
        <v>59</v>
      </c>
      <c r="D110" s="234">
        <v>200000</v>
      </c>
      <c r="E110" s="217">
        <f>I111</f>
        <v>200000</v>
      </c>
      <c r="F110" s="234">
        <f>E110-D110</f>
        <v>0</v>
      </c>
      <c r="G110" s="151">
        <f t="shared" ref="G110" si="17">E110/D110*100</f>
        <v>100</v>
      </c>
      <c r="H110" s="152" t="s">
        <v>59</v>
      </c>
      <c r="I110" s="179"/>
      <c r="L110" s="170"/>
    </row>
    <row r="111" spans="1:12" s="169" customFormat="1" ht="20.100000000000001" customHeight="1" x14ac:dyDescent="0.15">
      <c r="A111" s="194"/>
      <c r="B111" s="183"/>
      <c r="C111" s="319"/>
      <c r="D111" s="234"/>
      <c r="E111" s="217"/>
      <c r="F111" s="229"/>
      <c r="G111" s="219"/>
      <c r="H111" s="152" t="s">
        <v>148</v>
      </c>
      <c r="I111" s="184">
        <f>50000*4</f>
        <v>200000</v>
      </c>
      <c r="L111" s="170"/>
    </row>
    <row r="112" spans="1:12" s="169" customFormat="1" ht="20.100000000000001" customHeight="1" x14ac:dyDescent="0.15">
      <c r="A112" s="194"/>
      <c r="B112" s="178"/>
      <c r="C112" s="318" t="s">
        <v>103</v>
      </c>
      <c r="D112" s="227">
        <v>920000</v>
      </c>
      <c r="E112" s="214">
        <f>I113+I114</f>
        <v>920000</v>
      </c>
      <c r="F112" s="227">
        <f>E112-D112</f>
        <v>0</v>
      </c>
      <c r="G112" s="161">
        <f t="shared" ref="G112" si="18">E112/D112*100</f>
        <v>100</v>
      </c>
      <c r="H112" s="142" t="s">
        <v>103</v>
      </c>
      <c r="I112" s="179"/>
      <c r="L112" s="170"/>
    </row>
    <row r="113" spans="1:12" s="169" customFormat="1" ht="20.100000000000001" customHeight="1" x14ac:dyDescent="0.15">
      <c r="A113" s="194"/>
      <c r="B113" s="178"/>
      <c r="C113" s="326"/>
      <c r="D113" s="234"/>
      <c r="E113" s="217"/>
      <c r="F113" s="218"/>
      <c r="G113" s="151"/>
      <c r="H113" s="152" t="s">
        <v>158</v>
      </c>
      <c r="I113" s="179">
        <f>50000*4</f>
        <v>200000</v>
      </c>
      <c r="L113" s="170"/>
    </row>
    <row r="114" spans="1:12" s="169" customFormat="1" ht="20.100000000000001" customHeight="1" x14ac:dyDescent="0.15">
      <c r="A114" s="194"/>
      <c r="B114" s="178"/>
      <c r="C114" s="319"/>
      <c r="D114" s="234"/>
      <c r="E114" s="231"/>
      <c r="F114" s="229"/>
      <c r="G114" s="160"/>
      <c r="H114" s="152" t="s">
        <v>164</v>
      </c>
      <c r="I114" s="184">
        <f>60000*12</f>
        <v>720000</v>
      </c>
      <c r="L114" s="170"/>
    </row>
    <row r="115" spans="1:12" s="169" customFormat="1" ht="20.100000000000001" customHeight="1" x14ac:dyDescent="0.15">
      <c r="A115" s="194"/>
      <c r="B115" s="178"/>
      <c r="C115" s="318" t="s">
        <v>104</v>
      </c>
      <c r="D115" s="227">
        <v>5130000</v>
      </c>
      <c r="E115" s="217">
        <f>I116+I117+I120+I121+I122+I123+I125+I126+I124+I118+I119</f>
        <v>5210000</v>
      </c>
      <c r="F115" s="234">
        <f>E115-D115</f>
        <v>80000</v>
      </c>
      <c r="G115" s="151">
        <f t="shared" ref="G115" si="19">E115/D115*100</f>
        <v>101.55945419103314</v>
      </c>
      <c r="H115" s="215" t="s">
        <v>104</v>
      </c>
      <c r="I115" s="179"/>
      <c r="L115" s="170"/>
    </row>
    <row r="116" spans="1:12" s="169" customFormat="1" ht="20.100000000000001" customHeight="1" x14ac:dyDescent="0.15">
      <c r="A116" s="191"/>
      <c r="B116" s="178"/>
      <c r="C116" s="326"/>
      <c r="D116" s="234"/>
      <c r="E116" s="217"/>
      <c r="F116" s="234"/>
      <c r="G116" s="151"/>
      <c r="H116" s="241" t="s">
        <v>203</v>
      </c>
      <c r="I116" s="179">
        <f>35000*12</f>
        <v>420000</v>
      </c>
      <c r="L116" s="170"/>
    </row>
    <row r="117" spans="1:12" s="169" customFormat="1" ht="20.100000000000001" customHeight="1" x14ac:dyDescent="0.15">
      <c r="A117" s="194"/>
      <c r="B117" s="178"/>
      <c r="C117" s="178"/>
      <c r="D117" s="234"/>
      <c r="E117" s="217"/>
      <c r="F117" s="234"/>
      <c r="G117" s="151"/>
      <c r="H117" s="241" t="s">
        <v>201</v>
      </c>
      <c r="I117" s="179">
        <f>200000*1</f>
        <v>200000</v>
      </c>
      <c r="L117" s="170"/>
    </row>
    <row r="118" spans="1:12" s="169" customFormat="1" ht="20.100000000000001" customHeight="1" x14ac:dyDescent="0.15">
      <c r="A118" s="194"/>
      <c r="B118" s="178"/>
      <c r="C118" s="178"/>
      <c r="D118" s="234"/>
      <c r="E118" s="217"/>
      <c r="F118" s="234"/>
      <c r="G118" s="151"/>
      <c r="H118" s="241" t="s">
        <v>197</v>
      </c>
      <c r="I118" s="179">
        <f>600000*2</f>
        <v>1200000</v>
      </c>
      <c r="L118" s="170"/>
    </row>
    <row r="119" spans="1:12" s="169" customFormat="1" ht="20.100000000000001" customHeight="1" x14ac:dyDescent="0.15">
      <c r="A119" s="194"/>
      <c r="B119" s="178"/>
      <c r="C119" s="178"/>
      <c r="D119" s="234"/>
      <c r="E119" s="217"/>
      <c r="F119" s="234"/>
      <c r="G119" s="151"/>
      <c r="H119" s="241" t="s">
        <v>170</v>
      </c>
      <c r="I119" s="179">
        <f>150000*4</f>
        <v>600000</v>
      </c>
      <c r="L119" s="170"/>
    </row>
    <row r="120" spans="1:12" s="169" customFormat="1" ht="20.100000000000001" customHeight="1" x14ac:dyDescent="0.15">
      <c r="A120" s="194"/>
      <c r="B120" s="178"/>
      <c r="C120" s="178"/>
      <c r="D120" s="234"/>
      <c r="E120" s="217"/>
      <c r="F120" s="234"/>
      <c r="G120" s="151"/>
      <c r="H120" s="241" t="s">
        <v>226</v>
      </c>
      <c r="I120" s="179">
        <f>11000*40*2</f>
        <v>880000</v>
      </c>
      <c r="J120" s="128"/>
      <c r="L120" s="170"/>
    </row>
    <row r="121" spans="1:12" s="169" customFormat="1" ht="20.100000000000001" customHeight="1" x14ac:dyDescent="0.15">
      <c r="A121" s="194"/>
      <c r="B121" s="178"/>
      <c r="C121" s="178"/>
      <c r="D121" s="234"/>
      <c r="E121" s="217"/>
      <c r="F121" s="234"/>
      <c r="G121" s="151"/>
      <c r="H121" s="241" t="s">
        <v>200</v>
      </c>
      <c r="I121" s="179">
        <f>10000*1</f>
        <v>10000</v>
      </c>
      <c r="L121" s="170"/>
    </row>
    <row r="122" spans="1:12" s="169" customFormat="1" ht="20.100000000000001" customHeight="1" x14ac:dyDescent="0.15">
      <c r="A122" s="194"/>
      <c r="B122" s="178"/>
      <c r="C122" s="178"/>
      <c r="D122" s="234"/>
      <c r="E122" s="217"/>
      <c r="F122" s="234"/>
      <c r="G122" s="151"/>
      <c r="H122" s="241" t="s">
        <v>198</v>
      </c>
      <c r="I122" s="179">
        <f>10000*40*1</f>
        <v>400000</v>
      </c>
      <c r="L122" s="170"/>
    </row>
    <row r="123" spans="1:12" s="169" customFormat="1" ht="20.100000000000001" customHeight="1" x14ac:dyDescent="0.15">
      <c r="A123" s="194"/>
      <c r="B123" s="178"/>
      <c r="C123" s="178"/>
      <c r="D123" s="234"/>
      <c r="E123" s="217"/>
      <c r="F123" s="234"/>
      <c r="G123" s="151"/>
      <c r="H123" s="241" t="s">
        <v>165</v>
      </c>
      <c r="I123" s="179">
        <f>200000*1</f>
        <v>200000</v>
      </c>
      <c r="L123" s="170"/>
    </row>
    <row r="124" spans="1:12" s="169" customFormat="1" ht="20.100000000000001" customHeight="1" x14ac:dyDescent="0.15">
      <c r="A124" s="194"/>
      <c r="B124" s="178"/>
      <c r="C124" s="178"/>
      <c r="D124" s="234"/>
      <c r="E124" s="217"/>
      <c r="F124" s="234"/>
      <c r="G124" s="151"/>
      <c r="H124" s="241" t="s">
        <v>166</v>
      </c>
      <c r="I124" s="179">
        <f>100000*1</f>
        <v>100000</v>
      </c>
      <c r="L124" s="170"/>
    </row>
    <row r="125" spans="1:12" s="169" customFormat="1" ht="20.100000000000001" customHeight="1" x14ac:dyDescent="0.15">
      <c r="A125" s="194"/>
      <c r="B125" s="178"/>
      <c r="C125" s="178"/>
      <c r="D125" s="234"/>
      <c r="E125" s="217"/>
      <c r="F125" s="218"/>
      <c r="G125" s="219"/>
      <c r="H125" s="241" t="s">
        <v>132</v>
      </c>
      <c r="I125" s="179">
        <f>600000*1</f>
        <v>600000</v>
      </c>
      <c r="L125" s="170"/>
    </row>
    <row r="126" spans="1:12" s="169" customFormat="1" ht="20.100000000000001" customHeight="1" x14ac:dyDescent="0.15">
      <c r="A126" s="194"/>
      <c r="B126" s="178"/>
      <c r="C126" s="178"/>
      <c r="D126" s="234"/>
      <c r="E126" s="217"/>
      <c r="F126" s="218"/>
      <c r="G126" s="219"/>
      <c r="H126" s="241" t="s">
        <v>225</v>
      </c>
      <c r="I126" s="184">
        <f>150000*4</f>
        <v>600000</v>
      </c>
      <c r="L126" s="170"/>
    </row>
    <row r="127" spans="1:12" s="169" customFormat="1" ht="20.100000000000001" customHeight="1" x14ac:dyDescent="0.15">
      <c r="A127" s="194"/>
      <c r="B127" s="178"/>
      <c r="C127" s="318" t="s">
        <v>105</v>
      </c>
      <c r="D127" s="227">
        <v>600000</v>
      </c>
      <c r="E127" s="214">
        <f>I128</f>
        <v>600000</v>
      </c>
      <c r="F127" s="227">
        <f>E127-D127</f>
        <v>0</v>
      </c>
      <c r="G127" s="161">
        <f t="shared" ref="G127" si="20">E127/D127*100</f>
        <v>100</v>
      </c>
      <c r="H127" s="215" t="s">
        <v>60</v>
      </c>
      <c r="I127" s="179"/>
      <c r="L127" s="170"/>
    </row>
    <row r="128" spans="1:12" s="169" customFormat="1" ht="20.100000000000001" customHeight="1" x14ac:dyDescent="0.15">
      <c r="A128" s="194"/>
      <c r="B128" s="178"/>
      <c r="C128" s="319"/>
      <c r="D128" s="234"/>
      <c r="E128" s="217"/>
      <c r="F128" s="218"/>
      <c r="G128" s="219"/>
      <c r="H128" s="241" t="s">
        <v>111</v>
      </c>
      <c r="I128" s="179">
        <f>150000*4</f>
        <v>600000</v>
      </c>
      <c r="L128" s="170"/>
    </row>
    <row r="129" spans="1:12" s="169" customFormat="1" ht="19.5" customHeight="1" x14ac:dyDescent="0.15">
      <c r="A129" s="194"/>
      <c r="B129" s="198" t="s">
        <v>61</v>
      </c>
      <c r="C129" s="262"/>
      <c r="D129" s="243">
        <v>8423000</v>
      </c>
      <c r="E129" s="242">
        <f>E130+E132+E138+E141</f>
        <v>8623000</v>
      </c>
      <c r="F129" s="243">
        <f>F130+F132+F138+F141</f>
        <v>200000</v>
      </c>
      <c r="G129" s="147">
        <f t="shared" ref="G129" si="21">E129/D129*100</f>
        <v>102.37445090822747</v>
      </c>
      <c r="H129" s="136" t="s">
        <v>61</v>
      </c>
      <c r="I129" s="175"/>
      <c r="L129" s="170"/>
    </row>
    <row r="130" spans="1:12" s="169" customFormat="1" ht="20.100000000000001" customHeight="1" x14ac:dyDescent="0.15">
      <c r="A130" s="194"/>
      <c r="B130" s="178"/>
      <c r="C130" s="258" t="s">
        <v>62</v>
      </c>
      <c r="D130" s="227">
        <v>5200000</v>
      </c>
      <c r="E130" s="214">
        <f>I131</f>
        <v>5200000</v>
      </c>
      <c r="F130" s="227">
        <f t="shared" ref="F130" si="22">E130-D130</f>
        <v>0</v>
      </c>
      <c r="G130" s="161">
        <f t="shared" ref="G130:G132" si="23">E130/D130*100</f>
        <v>100</v>
      </c>
      <c r="H130" s="142" t="s">
        <v>64</v>
      </c>
      <c r="I130" s="179"/>
      <c r="L130" s="170"/>
    </row>
    <row r="131" spans="1:12" s="169" customFormat="1" ht="20.100000000000001" customHeight="1" x14ac:dyDescent="0.15">
      <c r="A131" s="194"/>
      <c r="B131" s="178"/>
      <c r="C131" s="263"/>
      <c r="D131" s="234"/>
      <c r="E131" s="217"/>
      <c r="F131" s="218"/>
      <c r="G131" s="219"/>
      <c r="H131" s="134" t="s">
        <v>199</v>
      </c>
      <c r="I131" s="184">
        <f>1300000*4</f>
        <v>5200000</v>
      </c>
      <c r="L131" s="170"/>
    </row>
    <row r="132" spans="1:12" s="169" customFormat="1" ht="20.100000000000001" customHeight="1" x14ac:dyDescent="0.15">
      <c r="A132" s="194"/>
      <c r="B132" s="178"/>
      <c r="C132" s="258" t="s">
        <v>63</v>
      </c>
      <c r="D132" s="227">
        <v>1823000</v>
      </c>
      <c r="E132" s="214">
        <f>I133+I134+I135+I137+I136</f>
        <v>1823000</v>
      </c>
      <c r="F132" s="227">
        <f>E132-D132</f>
        <v>0</v>
      </c>
      <c r="G132" s="161">
        <f t="shared" si="23"/>
        <v>100</v>
      </c>
      <c r="H132" s="152" t="s">
        <v>65</v>
      </c>
      <c r="I132" s="179"/>
      <c r="L132" s="170"/>
    </row>
    <row r="133" spans="1:12" s="169" customFormat="1" ht="20.100000000000001" customHeight="1" x14ac:dyDescent="0.15">
      <c r="A133" s="194"/>
      <c r="B133" s="178"/>
      <c r="C133" s="259"/>
      <c r="D133" s="234"/>
      <c r="E133" s="217"/>
      <c r="F133" s="218"/>
      <c r="G133" s="219"/>
      <c r="H133" s="152" t="s">
        <v>146</v>
      </c>
      <c r="I133" s="179">
        <f>500000*2</f>
        <v>1000000</v>
      </c>
      <c r="L133" s="170"/>
    </row>
    <row r="134" spans="1:12" s="169" customFormat="1" ht="20.100000000000001" customHeight="1" x14ac:dyDescent="0.15">
      <c r="A134" s="194"/>
      <c r="B134" s="178"/>
      <c r="C134" s="259"/>
      <c r="D134" s="234"/>
      <c r="E134" s="217"/>
      <c r="F134" s="218"/>
      <c r="G134" s="219"/>
      <c r="H134" s="152" t="s">
        <v>139</v>
      </c>
      <c r="I134" s="179">
        <f>28000*6</f>
        <v>168000</v>
      </c>
      <c r="L134" s="170"/>
    </row>
    <row r="135" spans="1:12" s="169" customFormat="1" ht="20.100000000000001" customHeight="1" x14ac:dyDescent="0.15">
      <c r="A135" s="194"/>
      <c r="B135" s="178"/>
      <c r="C135" s="259"/>
      <c r="D135" s="234"/>
      <c r="E135" s="217"/>
      <c r="F135" s="218"/>
      <c r="G135" s="219"/>
      <c r="H135" s="152" t="s">
        <v>194</v>
      </c>
      <c r="I135" s="179">
        <f>35000*1</f>
        <v>35000</v>
      </c>
      <c r="L135" s="170"/>
    </row>
    <row r="136" spans="1:12" s="169" customFormat="1" ht="20.100000000000001" customHeight="1" x14ac:dyDescent="0.15">
      <c r="A136" s="194"/>
      <c r="B136" s="178"/>
      <c r="C136" s="259"/>
      <c r="D136" s="234"/>
      <c r="E136" s="217"/>
      <c r="F136" s="218"/>
      <c r="G136" s="219"/>
      <c r="H136" s="152" t="s">
        <v>173</v>
      </c>
      <c r="I136" s="179">
        <f>500000*1</f>
        <v>500000</v>
      </c>
      <c r="K136" s="169">
        <v>158802</v>
      </c>
      <c r="L136" s="170"/>
    </row>
    <row r="137" spans="1:12" s="169" customFormat="1" ht="20.100000000000001" customHeight="1" x14ac:dyDescent="0.15">
      <c r="A137" s="200"/>
      <c r="B137" s="201"/>
      <c r="C137" s="261"/>
      <c r="D137" s="232"/>
      <c r="E137" s="221"/>
      <c r="F137" s="222"/>
      <c r="G137" s="223"/>
      <c r="H137" s="224" t="s">
        <v>172</v>
      </c>
      <c r="I137" s="203">
        <f>30000*4</f>
        <v>120000</v>
      </c>
      <c r="K137" s="169">
        <v>49593</v>
      </c>
      <c r="L137" s="170"/>
    </row>
    <row r="138" spans="1:12" s="169" customFormat="1" ht="20.100000000000001" customHeight="1" x14ac:dyDescent="0.15">
      <c r="A138" s="194"/>
      <c r="B138" s="178"/>
      <c r="C138" s="264" t="s">
        <v>72</v>
      </c>
      <c r="D138" s="234">
        <v>1200000</v>
      </c>
      <c r="E138" s="217">
        <f>I139+I140</f>
        <v>1400000</v>
      </c>
      <c r="F138" s="234">
        <f>E138-D138</f>
        <v>200000</v>
      </c>
      <c r="G138" s="151">
        <f t="shared" ref="G138" si="24">E138/D138*100</f>
        <v>116.66666666666667</v>
      </c>
      <c r="H138" s="152" t="s">
        <v>66</v>
      </c>
      <c r="I138" s="179"/>
      <c r="K138" s="169">
        <f>SUM(K136:K137)</f>
        <v>208395</v>
      </c>
      <c r="L138" s="170"/>
    </row>
    <row r="139" spans="1:12" s="169" customFormat="1" ht="20.100000000000001" customHeight="1" x14ac:dyDescent="0.15">
      <c r="A139" s="194"/>
      <c r="B139" s="178"/>
      <c r="C139" s="265"/>
      <c r="D139" s="234"/>
      <c r="E139" s="217"/>
      <c r="F139" s="218"/>
      <c r="G139" s="219"/>
      <c r="H139" s="152" t="s">
        <v>248</v>
      </c>
      <c r="I139" s="179">
        <f>300000*2</f>
        <v>600000</v>
      </c>
      <c r="K139" s="169">
        <f>K136-K137</f>
        <v>109209</v>
      </c>
      <c r="L139" s="170"/>
    </row>
    <row r="140" spans="1:12" s="251" customFormat="1" ht="20.100000000000001" customHeight="1" x14ac:dyDescent="0.15">
      <c r="A140" s="194"/>
      <c r="B140" s="182"/>
      <c r="C140" s="266"/>
      <c r="D140" s="230"/>
      <c r="E140" s="231"/>
      <c r="F140" s="229"/>
      <c r="G140" s="226"/>
      <c r="H140" s="134" t="s">
        <v>185</v>
      </c>
      <c r="I140" s="184">
        <f>200000*4</f>
        <v>800000</v>
      </c>
      <c r="L140" s="252"/>
    </row>
    <row r="141" spans="1:12" s="169" customFormat="1" ht="20.100000000000001" customHeight="1" x14ac:dyDescent="0.15">
      <c r="A141" s="191"/>
      <c r="B141" s="178"/>
      <c r="C141" s="265" t="s">
        <v>67</v>
      </c>
      <c r="D141" s="234">
        <v>200000</v>
      </c>
      <c r="E141" s="217">
        <f>I142</f>
        <v>200000</v>
      </c>
      <c r="F141" s="234">
        <f>E141-D141</f>
        <v>0</v>
      </c>
      <c r="G141" s="151">
        <f t="shared" ref="G141:G143" si="25">E141/D141*100</f>
        <v>100</v>
      </c>
      <c r="H141" s="152" t="s">
        <v>67</v>
      </c>
      <c r="I141" s="179"/>
      <c r="L141" s="170"/>
    </row>
    <row r="142" spans="1:12" s="169" customFormat="1" ht="20.100000000000001" customHeight="1" x14ac:dyDescent="0.15">
      <c r="A142" s="253"/>
      <c r="B142" s="182"/>
      <c r="C142" s="266"/>
      <c r="D142" s="230"/>
      <c r="E142" s="231"/>
      <c r="F142" s="234">
        <f t="shared" ref="F142:F143" si="26">E142-D142</f>
        <v>0</v>
      </c>
      <c r="G142" s="160"/>
      <c r="H142" s="134" t="s">
        <v>131</v>
      </c>
      <c r="I142" s="184">
        <f>100000*2</f>
        <v>200000</v>
      </c>
      <c r="L142" s="170"/>
    </row>
    <row r="143" spans="1:12" s="169" customFormat="1" ht="20.100000000000001" customHeight="1" x14ac:dyDescent="0.15">
      <c r="A143" s="195" t="s">
        <v>68</v>
      </c>
      <c r="B143" s="196"/>
      <c r="C143" s="267"/>
      <c r="D143" s="209">
        <v>45456</v>
      </c>
      <c r="E143" s="208">
        <f>E144</f>
        <v>47622</v>
      </c>
      <c r="F143" s="209">
        <f t="shared" si="26"/>
        <v>2166</v>
      </c>
      <c r="G143" s="279">
        <f t="shared" si="25"/>
        <v>104.76504751847942</v>
      </c>
      <c r="H143" s="136" t="s">
        <v>68</v>
      </c>
      <c r="I143" s="175"/>
      <c r="L143" s="170"/>
    </row>
    <row r="144" spans="1:12" s="169" customFormat="1" ht="20.100000000000001" customHeight="1" x14ac:dyDescent="0.15">
      <c r="A144" s="268"/>
      <c r="B144" s="269" t="s">
        <v>68</v>
      </c>
      <c r="C144" s="262"/>
      <c r="D144" s="212">
        <v>45456</v>
      </c>
      <c r="E144" s="211">
        <f>E145+E147</f>
        <v>47622</v>
      </c>
      <c r="F144" s="227">
        <f t="shared" si="0"/>
        <v>2166</v>
      </c>
      <c r="G144" s="147">
        <f t="shared" ref="G144:G147" si="27">E144/D144*100</f>
        <v>104.76504751847942</v>
      </c>
      <c r="H144" s="136" t="s">
        <v>68</v>
      </c>
      <c r="I144" s="175"/>
      <c r="L144" s="170"/>
    </row>
    <row r="145" spans="1:12" s="169" customFormat="1" ht="20.100000000000001" customHeight="1" x14ac:dyDescent="0.15">
      <c r="A145" s="191"/>
      <c r="B145" s="178"/>
      <c r="C145" s="265" t="s">
        <v>69</v>
      </c>
      <c r="D145" s="234">
        <v>25456</v>
      </c>
      <c r="E145" s="217">
        <f>I146</f>
        <v>27622</v>
      </c>
      <c r="F145" s="227">
        <f t="shared" si="0"/>
        <v>2166</v>
      </c>
      <c r="G145" s="150">
        <f t="shared" si="27"/>
        <v>108.50879949717158</v>
      </c>
      <c r="H145" s="236" t="s">
        <v>69</v>
      </c>
      <c r="I145" s="179"/>
      <c r="L145" s="170"/>
    </row>
    <row r="146" spans="1:12" s="169" customFormat="1" ht="20.100000000000001" customHeight="1" x14ac:dyDescent="0.15">
      <c r="A146" s="194"/>
      <c r="B146" s="183"/>
      <c r="C146" s="266"/>
      <c r="D146" s="230"/>
      <c r="E146" s="231"/>
      <c r="F146" s="230"/>
      <c r="G146" s="139"/>
      <c r="H146" s="244" t="s">
        <v>249</v>
      </c>
      <c r="I146" s="184">
        <f>27622*1</f>
        <v>27622</v>
      </c>
      <c r="K146" s="128"/>
      <c r="L146" s="170"/>
    </row>
    <row r="147" spans="1:12" s="169" customFormat="1" ht="20.100000000000001" customHeight="1" x14ac:dyDescent="0.15">
      <c r="A147" s="194"/>
      <c r="B147" s="183"/>
      <c r="C147" s="270" t="s">
        <v>121</v>
      </c>
      <c r="D147" s="227">
        <v>20000</v>
      </c>
      <c r="E147" s="214">
        <f>I148</f>
        <v>20000</v>
      </c>
      <c r="F147" s="227">
        <f t="shared" si="0"/>
        <v>0</v>
      </c>
      <c r="G147" s="161">
        <f t="shared" si="27"/>
        <v>100</v>
      </c>
      <c r="H147" s="238" t="s">
        <v>121</v>
      </c>
      <c r="I147" s="179"/>
      <c r="L147" s="170"/>
    </row>
    <row r="148" spans="1:12" s="251" customFormat="1" ht="20.100000000000001" customHeight="1" x14ac:dyDescent="0.15">
      <c r="A148" s="271"/>
      <c r="B148" s="201"/>
      <c r="C148" s="272"/>
      <c r="D148" s="232"/>
      <c r="E148" s="221"/>
      <c r="F148" s="232"/>
      <c r="G148" s="233"/>
      <c r="H148" s="224" t="s">
        <v>195</v>
      </c>
      <c r="I148" s="203">
        <f>20000*1</f>
        <v>20000</v>
      </c>
      <c r="L148" s="252"/>
    </row>
    <row r="149" spans="1:12" x14ac:dyDescent="0.15">
      <c r="D149" s="82"/>
    </row>
    <row r="150" spans="1:12" x14ac:dyDescent="0.15">
      <c r="D150" s="82"/>
    </row>
    <row r="151" spans="1:12" x14ac:dyDescent="0.15">
      <c r="D151" s="82"/>
    </row>
    <row r="152" spans="1:12" x14ac:dyDescent="0.15">
      <c r="D152" s="82"/>
    </row>
    <row r="153" spans="1:12" x14ac:dyDescent="0.15">
      <c r="D153" s="82"/>
    </row>
    <row r="154" spans="1:12" x14ac:dyDescent="0.15">
      <c r="D154" s="82"/>
    </row>
    <row r="155" spans="1:12" x14ac:dyDescent="0.15">
      <c r="D155" s="82"/>
    </row>
  </sheetData>
  <customSheetViews>
    <customSheetView guid="{29BE6789-D580-482F-AE13-9E62D887C1AB}" showPageBreaks="1" printArea="1" view="pageBreakPreview" topLeftCell="A126">
      <selection activeCell="E140" sqref="E140"/>
      <rowBreaks count="5" manualBreakCount="5">
        <brk id="25" max="8" man="1"/>
        <brk id="49" max="8" man="1"/>
        <brk id="72" max="8" man="1"/>
        <brk id="95" max="8" man="1"/>
        <brk id="118" max="8" man="1"/>
      </rowBreaks>
      <pageMargins left="0.94488188976377963" right="0.74803149606299213" top="0.98425196850393704" bottom="0.98425196850393704" header="0.51181102362204722" footer="0.51181102362204722"/>
      <printOptions horizontalCentered="1"/>
      <pageSetup paperSize="9" scale="74" firstPageNumber="3" orientation="landscape" useFirstPageNumber="1" r:id="rId1"/>
      <headerFooter alignWithMargins="0">
        <oddFooter xml:space="preserve">&amp;R참좋은 기억학교(2022.02.14)
</oddFooter>
      </headerFooter>
    </customSheetView>
  </customSheetViews>
  <mergeCells count="16">
    <mergeCell ref="A1:H1"/>
    <mergeCell ref="C127:C128"/>
    <mergeCell ref="F4:G4"/>
    <mergeCell ref="H4:I5"/>
    <mergeCell ref="A6:C6"/>
    <mergeCell ref="H3:I3"/>
    <mergeCell ref="A83:A84"/>
    <mergeCell ref="A3:C3"/>
    <mergeCell ref="A4:C4"/>
    <mergeCell ref="D4:D5"/>
    <mergeCell ref="E4:E5"/>
    <mergeCell ref="C101:C102"/>
    <mergeCell ref="C58:C59"/>
    <mergeCell ref="C110:C111"/>
    <mergeCell ref="C112:C114"/>
    <mergeCell ref="C115:C116"/>
  </mergeCells>
  <phoneticPr fontId="2" type="noConversion"/>
  <printOptions horizontalCentered="1"/>
  <pageMargins left="0.94488188976377963" right="0.74803149606299213" top="0.98425196850393704" bottom="0.98425196850393704" header="0.51181102362204722" footer="0.51181102362204722"/>
  <pageSetup paperSize="9" scale="69" firstPageNumber="3" fitToHeight="9" orientation="landscape" useFirstPageNumber="1" r:id="rId2"/>
  <headerFooter alignWithMargins="0">
    <oddFooter xml:space="preserve">&amp;R참좋은기억학교(2023. 9. 7.)
</oddFooter>
  </headerFooter>
  <rowBreaks count="5" manualBreakCount="5">
    <brk id="28" max="8" man="1"/>
    <brk id="54" max="8" man="1"/>
    <brk id="81" max="8" man="1"/>
    <brk id="109" max="8" man="1"/>
    <brk id="137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40"/>
  <sheetViews>
    <sheetView view="pageBreakPreview" zoomScaleNormal="100" zoomScaleSheetLayoutView="100" workbookViewId="0">
      <selection activeCell="B33" sqref="B33"/>
    </sheetView>
  </sheetViews>
  <sheetFormatPr defaultRowHeight="13.5" x14ac:dyDescent="0.15"/>
  <cols>
    <col min="1" max="1" width="11.77734375" style="44" customWidth="1"/>
    <col min="2" max="2" width="13.44140625" style="44" customWidth="1"/>
    <col min="3" max="3" width="15.6640625" style="45" customWidth="1"/>
    <col min="4" max="4" width="12.88671875" style="63" customWidth="1"/>
    <col min="5" max="5" width="12.77734375" style="63" customWidth="1"/>
    <col min="6" max="6" width="12.88671875" style="63" customWidth="1"/>
    <col min="7" max="7" width="10.44140625" style="44" bestFit="1" customWidth="1"/>
    <col min="8" max="8" width="12.44140625" style="44" bestFit="1" customWidth="1"/>
    <col min="9" max="16384" width="8.88671875" style="44"/>
  </cols>
  <sheetData>
    <row r="1" spans="1:9" ht="46.5" customHeight="1" x14ac:dyDescent="0.15">
      <c r="A1" s="333" t="s">
        <v>219</v>
      </c>
      <c r="B1" s="334"/>
      <c r="C1" s="334"/>
      <c r="D1" s="334"/>
      <c r="E1" s="334"/>
      <c r="F1" s="335"/>
    </row>
    <row r="2" spans="1:9" s="48" customFormat="1" ht="23.1" customHeight="1" x14ac:dyDescent="0.15">
      <c r="A2" s="339" t="s">
        <v>122</v>
      </c>
      <c r="B2" s="340"/>
      <c r="C2" s="273"/>
      <c r="D2" s="274"/>
      <c r="E2" s="274"/>
      <c r="F2" s="275"/>
    </row>
    <row r="3" spans="1:9" s="48" customFormat="1" ht="23.1" customHeight="1" x14ac:dyDescent="0.15">
      <c r="A3" s="341" t="s">
        <v>123</v>
      </c>
      <c r="B3" s="342"/>
      <c r="C3" s="60"/>
      <c r="D3" s="61"/>
      <c r="E3" s="62"/>
      <c r="F3" s="69" t="s">
        <v>124</v>
      </c>
    </row>
    <row r="4" spans="1:9" s="48" customFormat="1" ht="23.1" customHeight="1" thickBot="1" x14ac:dyDescent="0.2">
      <c r="A4" s="70" t="s">
        <v>2</v>
      </c>
      <c r="B4" s="66" t="s">
        <v>3</v>
      </c>
      <c r="C4" s="66" t="s">
        <v>17</v>
      </c>
      <c r="D4" s="67" t="s">
        <v>220</v>
      </c>
      <c r="E4" s="67" t="s">
        <v>221</v>
      </c>
      <c r="F4" s="71" t="s">
        <v>95</v>
      </c>
    </row>
    <row r="5" spans="1:9" s="48" customFormat="1" ht="20.100000000000001" customHeight="1" thickTop="1" x14ac:dyDescent="0.15">
      <c r="A5" s="336" t="s">
        <v>93</v>
      </c>
      <c r="B5" s="337"/>
      <c r="C5" s="338"/>
      <c r="D5" s="65">
        <f>'2차추경예산내역-세입'!D6</f>
        <v>444800000</v>
      </c>
      <c r="E5" s="65">
        <f>'2차추경예산내역-세입'!E6</f>
        <v>449100000</v>
      </c>
      <c r="F5" s="72">
        <f t="shared" ref="F5" si="0">E5-D5</f>
        <v>4300000</v>
      </c>
      <c r="G5" s="50"/>
      <c r="H5" s="276"/>
    </row>
    <row r="6" spans="1:9" s="48" customFormat="1" ht="20.100000000000001" customHeight="1" x14ac:dyDescent="0.15">
      <c r="A6" s="73" t="str">
        <f>'2차추경예산내역-세입'!A7:C7</f>
        <v>입소자부담금수입</v>
      </c>
      <c r="B6" s="46" t="str">
        <f>'2차추경예산내역-세입'!B8:C8</f>
        <v>입소비용수입</v>
      </c>
      <c r="C6" s="46" t="str">
        <f>'2차추경예산내역-세입'!C9</f>
        <v>입소비용수입</v>
      </c>
      <c r="D6" s="101">
        <f>'2차추경예산내역-세입'!D9</f>
        <v>52080000</v>
      </c>
      <c r="E6" s="101">
        <f>'2차추경예산내역-세입'!E9</f>
        <v>55800000</v>
      </c>
      <c r="F6" s="74">
        <f>E6-D6</f>
        <v>3720000</v>
      </c>
      <c r="G6" s="50"/>
      <c r="H6" s="50"/>
    </row>
    <row r="7" spans="1:9" s="48" customFormat="1" ht="20.100000000000001" customHeight="1" x14ac:dyDescent="0.15">
      <c r="A7" s="75"/>
      <c r="B7" s="59"/>
      <c r="C7" s="59"/>
      <c r="D7" s="327" t="s">
        <v>204</v>
      </c>
      <c r="E7" s="328"/>
      <c r="F7" s="329"/>
    </row>
    <row r="8" spans="1:9" s="48" customFormat="1" ht="20.100000000000001" customHeight="1" x14ac:dyDescent="0.15">
      <c r="A8" s="280" t="str">
        <f>'2차추경예산내역-세입'!A11:C11</f>
        <v>보조금수입</v>
      </c>
      <c r="B8" s="46" t="str">
        <f>'2차추경예산내역-세입'!B12:C12</f>
        <v>보조금수입</v>
      </c>
      <c r="C8" s="46" t="str">
        <f>'2차추경예산내역-세입'!C15</f>
        <v>시군구보조금</v>
      </c>
      <c r="D8" s="101">
        <f>'2차추경예산내역-세입'!D15</f>
        <v>370064348</v>
      </c>
      <c r="E8" s="101">
        <f>'2차추경예산내역-세입'!E15</f>
        <v>370182182</v>
      </c>
      <c r="F8" s="76">
        <f>'2차추경예산내역-세입'!F15</f>
        <v>117834</v>
      </c>
      <c r="I8" s="50"/>
    </row>
    <row r="9" spans="1:9" s="48" customFormat="1" ht="20.100000000000001" customHeight="1" x14ac:dyDescent="0.15">
      <c r="A9" s="75"/>
      <c r="B9" s="59"/>
      <c r="C9" s="59"/>
      <c r="D9" s="112" t="s">
        <v>257</v>
      </c>
      <c r="E9" s="113"/>
      <c r="F9" s="114"/>
    </row>
    <row r="10" spans="1:9" s="48" customFormat="1" ht="20.100000000000001" customHeight="1" x14ac:dyDescent="0.15">
      <c r="A10" s="73" t="str">
        <f>'2차추경예산내역-세입'!A18:C18</f>
        <v>후원금수입</v>
      </c>
      <c r="B10" s="46" t="str">
        <f>'2차추경예산내역-세입'!B19:C19</f>
        <v>후원금수입</v>
      </c>
      <c r="C10" s="46" t="str">
        <f>'2차추경예산내역-세입'!C20</f>
        <v>지정후원금</v>
      </c>
      <c r="D10" s="101">
        <f>'2차추경예산내역-세입'!D20</f>
        <v>0</v>
      </c>
      <c r="E10" s="101">
        <f>'2차추경예산내역-세입'!E20</f>
        <v>450000</v>
      </c>
      <c r="F10" s="76">
        <f>'2차추경예산내역-세입'!F20</f>
        <v>450000</v>
      </c>
      <c r="I10" s="50"/>
    </row>
    <row r="11" spans="1:9" s="48" customFormat="1" ht="20.100000000000001" customHeight="1" x14ac:dyDescent="0.15">
      <c r="A11" s="75"/>
      <c r="B11" s="59"/>
      <c r="C11" s="59"/>
      <c r="D11" s="112" t="s">
        <v>256</v>
      </c>
      <c r="E11" s="113"/>
      <c r="F11" s="114"/>
    </row>
    <row r="12" spans="1:9" s="48" customFormat="1" ht="20.100000000000001" customHeight="1" x14ac:dyDescent="0.15">
      <c r="A12" s="73" t="s">
        <v>24</v>
      </c>
      <c r="B12" s="46" t="s">
        <v>36</v>
      </c>
      <c r="C12" s="46" t="str">
        <f>'2차추경예산내역-세입'!C31</f>
        <v>기타잡수입</v>
      </c>
      <c r="D12" s="101">
        <f>'2차추경예산내역-세입'!D31</f>
        <v>7861189</v>
      </c>
      <c r="E12" s="101">
        <f>'2차추경예산내역-세입'!E31</f>
        <v>7873355</v>
      </c>
      <c r="F12" s="76">
        <f>E12-D12</f>
        <v>12166</v>
      </c>
    </row>
    <row r="13" spans="1:9" s="48" customFormat="1" ht="20.100000000000001" customHeight="1" x14ac:dyDescent="0.15">
      <c r="A13" s="75"/>
      <c r="B13" s="59"/>
      <c r="C13" s="59"/>
      <c r="D13" s="112" t="s">
        <v>255</v>
      </c>
      <c r="E13" s="113"/>
      <c r="F13" s="114"/>
    </row>
    <row r="14" spans="1:9" s="48" customFormat="1" ht="23.1" customHeight="1" x14ac:dyDescent="0.15">
      <c r="A14" s="77"/>
      <c r="C14" s="45"/>
      <c r="D14" s="49"/>
      <c r="E14" s="50"/>
      <c r="F14" s="78"/>
    </row>
    <row r="15" spans="1:9" s="48" customFormat="1" ht="20.100000000000001" customHeight="1" x14ac:dyDescent="0.15">
      <c r="A15" s="341" t="s">
        <v>125</v>
      </c>
      <c r="B15" s="342"/>
      <c r="C15" s="45"/>
      <c r="D15" s="49"/>
      <c r="E15" s="50"/>
      <c r="F15" s="78" t="s">
        <v>124</v>
      </c>
      <c r="G15" s="50"/>
      <c r="H15" s="50"/>
    </row>
    <row r="16" spans="1:9" s="48" customFormat="1" ht="23.1" customHeight="1" thickBot="1" x14ac:dyDescent="0.2">
      <c r="A16" s="70" t="s">
        <v>2</v>
      </c>
      <c r="B16" s="66" t="s">
        <v>3</v>
      </c>
      <c r="C16" s="66" t="s">
        <v>17</v>
      </c>
      <c r="D16" s="67" t="s">
        <v>220</v>
      </c>
      <c r="E16" s="67" t="s">
        <v>221</v>
      </c>
      <c r="F16" s="71" t="s">
        <v>95</v>
      </c>
      <c r="I16" s="50"/>
    </row>
    <row r="17" spans="1:8" s="48" customFormat="1" ht="20.100000000000001" customHeight="1" thickTop="1" x14ac:dyDescent="0.15">
      <c r="A17" s="336" t="s">
        <v>94</v>
      </c>
      <c r="B17" s="337"/>
      <c r="C17" s="338"/>
      <c r="D17" s="51">
        <f>'2차추경예산내역-세출'!D6</f>
        <v>444800000.47373056</v>
      </c>
      <c r="E17" s="51">
        <f>'2차추경예산내역-세출'!E6</f>
        <v>449100000.27733749</v>
      </c>
      <c r="F17" s="72">
        <f t="shared" ref="F17" si="1">E17-D17</f>
        <v>4299999.8036069274</v>
      </c>
    </row>
    <row r="18" spans="1:8" s="48" customFormat="1" ht="20.100000000000001" customHeight="1" x14ac:dyDescent="0.15">
      <c r="A18" s="79" t="str">
        <f>'2차추경예산내역-세출'!A7</f>
        <v>사무비</v>
      </c>
      <c r="B18" s="46" t="str">
        <f>'2차추경예산내역-세출'!B8</f>
        <v>인건비</v>
      </c>
      <c r="C18" s="57" t="str">
        <f>'2차추경예산내역-세출'!C9</f>
        <v>급여</v>
      </c>
      <c r="D18" s="83">
        <f>'2차추경예산내역-세출'!D9</f>
        <v>256254900</v>
      </c>
      <c r="E18" s="81">
        <f>'2차추경예산내역-세출'!E9</f>
        <v>255343800</v>
      </c>
      <c r="F18" s="89">
        <f>'2차추경예산내역-세출'!F9</f>
        <v>-911100</v>
      </c>
    </row>
    <row r="19" spans="1:8" s="48" customFormat="1" ht="20.100000000000001" customHeight="1" x14ac:dyDescent="0.15">
      <c r="A19" s="77"/>
      <c r="B19" s="47"/>
      <c r="C19" s="58"/>
      <c r="D19" s="327" t="s">
        <v>258</v>
      </c>
      <c r="E19" s="328"/>
      <c r="F19" s="329"/>
    </row>
    <row r="20" spans="1:8" s="48" customFormat="1" ht="20.100000000000001" customHeight="1" x14ac:dyDescent="0.15">
      <c r="A20" s="91" t="str">
        <f>'2차추경예산내역-세출'!A7</f>
        <v>사무비</v>
      </c>
      <c r="B20" s="35" t="str">
        <f>'2차추경예산내역-세출'!B8</f>
        <v>인건비</v>
      </c>
      <c r="C20" s="57" t="str">
        <f>'2차추경예산내역-세출'!C29</f>
        <v>제수당</v>
      </c>
      <c r="D20" s="90">
        <f>'2차추경예산내역-세출'!D29</f>
        <v>35437070</v>
      </c>
      <c r="E20" s="90">
        <f>'2차추경예산내역-세출'!E29</f>
        <v>36413700</v>
      </c>
      <c r="F20" s="89">
        <f>'2차추경예산내역-세출'!F29</f>
        <v>976630</v>
      </c>
    </row>
    <row r="21" spans="1:8" s="48" customFormat="1" ht="20.100000000000001" customHeight="1" x14ac:dyDescent="0.15">
      <c r="A21" s="79"/>
      <c r="B21" s="92"/>
      <c r="C21" s="93"/>
      <c r="D21" s="327" t="s">
        <v>259</v>
      </c>
      <c r="E21" s="328"/>
      <c r="F21" s="329"/>
    </row>
    <row r="22" spans="1:8" s="48" customFormat="1" ht="20.100000000000001" customHeight="1" x14ac:dyDescent="0.15">
      <c r="A22" s="91" t="str">
        <f>'2차추경예산내역-세출'!A7</f>
        <v>사무비</v>
      </c>
      <c r="B22" s="35" t="str">
        <f>'2차추경예산내역-세출'!B8</f>
        <v>인건비</v>
      </c>
      <c r="C22" s="57" t="str">
        <f>'2차추경예산내역-세출'!C38</f>
        <v>퇴직금 및 퇴직적립금</v>
      </c>
      <c r="D22" s="88">
        <f>'2차추경예산내역-세출'!D38</f>
        <v>24280594.166666668</v>
      </c>
      <c r="E22" s="88">
        <f>'2차추경예산내역-세출'!E38</f>
        <v>24303825</v>
      </c>
      <c r="F22" s="89">
        <f>'2차추경예산내역-세출'!F38</f>
        <v>23230.833333332092</v>
      </c>
      <c r="G22" s="50"/>
      <c r="H22" s="50"/>
    </row>
    <row r="23" spans="1:8" s="48" customFormat="1" ht="20.100000000000001" customHeight="1" x14ac:dyDescent="0.15">
      <c r="A23" s="79"/>
      <c r="B23" s="92"/>
      <c r="C23" s="93"/>
      <c r="D23" s="327" t="s">
        <v>260</v>
      </c>
      <c r="E23" s="328"/>
      <c r="F23" s="329"/>
      <c r="G23" s="50"/>
      <c r="H23" s="50"/>
    </row>
    <row r="24" spans="1:8" s="48" customFormat="1" ht="20.100000000000001" customHeight="1" x14ac:dyDescent="0.15">
      <c r="A24" s="91" t="str">
        <f>'2차추경예산내역-세출'!A7</f>
        <v>사무비</v>
      </c>
      <c r="B24" s="35" t="str">
        <f>'2차추경예산내역-세출'!B8</f>
        <v>인건비</v>
      </c>
      <c r="C24" s="57" t="str">
        <f>'2차추경예산내역-세출'!C40</f>
        <v>사회보험부담금</v>
      </c>
      <c r="D24" s="88">
        <f>'2차추경예산내역-세출'!D40</f>
        <v>29751784.307063852</v>
      </c>
      <c r="E24" s="88">
        <f>'2차추경예산내역-세출'!E40</f>
        <v>29780857.277337499</v>
      </c>
      <c r="F24" s="89">
        <f>'2차추경예산내역-세출'!F40</f>
        <v>29072.970273647457</v>
      </c>
    </row>
    <row r="25" spans="1:8" s="48" customFormat="1" ht="20.100000000000001" customHeight="1" x14ac:dyDescent="0.15">
      <c r="A25" s="79"/>
      <c r="B25" s="92"/>
      <c r="C25" s="93"/>
      <c r="D25" s="327" t="s">
        <v>261</v>
      </c>
      <c r="E25" s="328"/>
      <c r="F25" s="329"/>
    </row>
    <row r="26" spans="1:8" s="48" customFormat="1" ht="20.100000000000001" customHeight="1" x14ac:dyDescent="0.15">
      <c r="A26" s="91" t="str">
        <f>'2차추경예산내역-세출'!A7</f>
        <v>사무비</v>
      </c>
      <c r="B26" s="35" t="str">
        <f>'2차추경예산내역-세출'!B50</f>
        <v>업무추진비</v>
      </c>
      <c r="C26" s="57" t="str">
        <f>'2차추경예산내역-세출'!C53</f>
        <v>회의비</v>
      </c>
      <c r="D26" s="88">
        <f>'2차추경예산내역-세출'!D53</f>
        <v>600000</v>
      </c>
      <c r="E26" s="88">
        <f>'2차추경예산내역-세출'!E53</f>
        <v>800000</v>
      </c>
      <c r="F26" s="89">
        <f>'2차추경예산내역-세출'!F53</f>
        <v>200000</v>
      </c>
    </row>
    <row r="27" spans="1:8" s="48" customFormat="1" ht="20.100000000000001" customHeight="1" x14ac:dyDescent="0.15">
      <c r="A27" s="79"/>
      <c r="B27" s="92"/>
      <c r="C27" s="93"/>
      <c r="D27" s="327" t="s">
        <v>262</v>
      </c>
      <c r="E27" s="328"/>
      <c r="F27" s="329"/>
    </row>
    <row r="28" spans="1:8" s="48" customFormat="1" ht="20.100000000000001" customHeight="1" x14ac:dyDescent="0.15">
      <c r="A28" s="91" t="str">
        <f>'2차추경예산내역-세출'!A7</f>
        <v>사무비</v>
      </c>
      <c r="B28" s="35" t="str">
        <f>'2차추경예산내역-세출'!B55</f>
        <v>운영비</v>
      </c>
      <c r="C28" s="57" t="str">
        <f>'2차추경예산내역-세출'!C78</f>
        <v>기타운영비</v>
      </c>
      <c r="D28" s="90">
        <f>'2차추경예산내역-세출'!D78</f>
        <v>4160000</v>
      </c>
      <c r="E28" s="90">
        <f>'2차추경예산내역-세출'!E78</f>
        <v>7010000</v>
      </c>
      <c r="F28" s="89">
        <f>'2차추경예산내역-세출'!F78</f>
        <v>2850000</v>
      </c>
    </row>
    <row r="29" spans="1:8" s="48" customFormat="1" ht="20.100000000000001" customHeight="1" x14ac:dyDescent="0.15">
      <c r="A29" s="79"/>
      <c r="B29" s="92"/>
      <c r="C29" s="93"/>
      <c r="D29" s="327" t="s">
        <v>265</v>
      </c>
      <c r="E29" s="328"/>
      <c r="F29" s="329"/>
    </row>
    <row r="30" spans="1:8" s="48" customFormat="1" ht="20.100000000000001" customHeight="1" x14ac:dyDescent="0.15">
      <c r="A30" s="91" t="str">
        <f>'2차추경예산내역-세출'!A82</f>
        <v>재산조성비</v>
      </c>
      <c r="B30" s="35" t="str">
        <f>'2차추경예산내역-세출'!B83</f>
        <v>시설비</v>
      </c>
      <c r="C30" s="57" t="str">
        <f>'2차추경예산내역-세출'!C87</f>
        <v>시설장비유지비</v>
      </c>
      <c r="D30" s="88">
        <f>'2차추경예산내역-세출'!D87</f>
        <v>1350000</v>
      </c>
      <c r="E30" s="88">
        <f>'2차추경예산내역-세출'!E87</f>
        <v>1700000</v>
      </c>
      <c r="F30" s="89">
        <f>'2차추경예산내역-세출'!F87</f>
        <v>350000</v>
      </c>
    </row>
    <row r="31" spans="1:8" s="48" customFormat="1" ht="20.100000000000001" customHeight="1" x14ac:dyDescent="0.15">
      <c r="A31" s="79"/>
      <c r="B31" s="92"/>
      <c r="C31" s="93"/>
      <c r="D31" s="327" t="s">
        <v>266</v>
      </c>
      <c r="E31" s="328"/>
      <c r="F31" s="329"/>
    </row>
    <row r="32" spans="1:8" s="48" customFormat="1" ht="20.100000000000001" customHeight="1" x14ac:dyDescent="0.15">
      <c r="A32" s="91" t="str">
        <f>'2차추경예산내역-세출'!A91</f>
        <v>사업비</v>
      </c>
      <c r="B32" s="35" t="str">
        <f>'2차추경예산내역-세출'!B92</f>
        <v>운영비</v>
      </c>
      <c r="C32" s="57" t="str">
        <f>'2차추경예산내역-세출'!C93</f>
        <v>생계비</v>
      </c>
      <c r="D32" s="88">
        <f>'2차추경예산내역-세출'!D93</f>
        <v>25808000</v>
      </c>
      <c r="E32" s="88">
        <f>'2차추경예산내역-세출'!E93</f>
        <v>26308000</v>
      </c>
      <c r="F32" s="89">
        <f>'2차추경예산내역-세출'!F93</f>
        <v>500000</v>
      </c>
    </row>
    <row r="33" spans="1:6" s="48" customFormat="1" ht="20.100000000000001" customHeight="1" x14ac:dyDescent="0.15">
      <c r="A33" s="79"/>
      <c r="B33" s="92"/>
      <c r="C33" s="93"/>
      <c r="D33" s="327" t="s">
        <v>263</v>
      </c>
      <c r="E33" s="328"/>
      <c r="F33" s="329"/>
    </row>
    <row r="34" spans="1:6" s="48" customFormat="1" ht="20.100000000000001" customHeight="1" x14ac:dyDescent="0.15">
      <c r="A34" s="91" t="str">
        <f>'2차추경예산내역-세출'!A91</f>
        <v>사업비</v>
      </c>
      <c r="B34" s="35" t="str">
        <f>'2차추경예산내역-세출'!B98</f>
        <v>사업비</v>
      </c>
      <c r="C34" s="57" t="str">
        <f>'2차추경예산내역-세출'!C115</f>
        <v>특별사업지원사업비</v>
      </c>
      <c r="D34" s="90">
        <f>'2차추경예산내역-세출'!D115</f>
        <v>5130000</v>
      </c>
      <c r="E34" s="90">
        <f>'2차추경예산내역-세출'!E115</f>
        <v>5210000</v>
      </c>
      <c r="F34" s="89">
        <f>'2차추경예산내역-세출'!F115</f>
        <v>80000</v>
      </c>
    </row>
    <row r="35" spans="1:6" s="48" customFormat="1" ht="20.100000000000001" customHeight="1" x14ac:dyDescent="0.15">
      <c r="A35" s="79"/>
      <c r="B35" s="92"/>
      <c r="C35" s="93"/>
      <c r="D35" s="327" t="s">
        <v>264</v>
      </c>
      <c r="E35" s="328"/>
      <c r="F35" s="329"/>
    </row>
    <row r="36" spans="1:6" s="48" customFormat="1" ht="20.100000000000001" customHeight="1" x14ac:dyDescent="0.15">
      <c r="A36" s="91" t="s">
        <v>268</v>
      </c>
      <c r="B36" s="35" t="s">
        <v>268</v>
      </c>
      <c r="C36" s="57" t="s">
        <v>269</v>
      </c>
      <c r="D36" s="88">
        <v>1200000</v>
      </c>
      <c r="E36" s="88">
        <v>1400000</v>
      </c>
      <c r="F36" s="89">
        <v>200000</v>
      </c>
    </row>
    <row r="37" spans="1:6" s="48" customFormat="1" ht="20.100000000000001" customHeight="1" x14ac:dyDescent="0.15">
      <c r="A37" s="119"/>
      <c r="B37" s="120"/>
      <c r="C37" s="93"/>
      <c r="D37" s="327" t="s">
        <v>267</v>
      </c>
      <c r="E37" s="328"/>
      <c r="F37" s="329"/>
    </row>
    <row r="38" spans="1:6" s="48" customFormat="1" ht="20.100000000000001" customHeight="1" x14ac:dyDescent="0.15">
      <c r="A38" s="117" t="str">
        <f>'2차추경예산내역-세출'!A143</f>
        <v>예비비 및 기타</v>
      </c>
      <c r="B38" s="118" t="str">
        <f>'2차추경예산내역-세출'!B144:C144</f>
        <v>예비비 및 기타</v>
      </c>
      <c r="C38" s="58" t="str">
        <f>'2차추경예산내역-세출'!C145</f>
        <v>예비비</v>
      </c>
      <c r="D38" s="115">
        <f>'2차추경예산내역-세출'!D145</f>
        <v>25456</v>
      </c>
      <c r="E38" s="115">
        <f>'2차추경예산내역-세출'!E145</f>
        <v>27622</v>
      </c>
      <c r="F38" s="116">
        <f>'2차추경예산내역-세출'!F145</f>
        <v>2166</v>
      </c>
    </row>
    <row r="39" spans="1:6" s="48" customFormat="1" ht="20.100000000000001" customHeight="1" x14ac:dyDescent="0.15">
      <c r="A39" s="96"/>
      <c r="B39" s="95"/>
      <c r="C39" s="94"/>
      <c r="D39" s="330" t="s">
        <v>270</v>
      </c>
      <c r="E39" s="331"/>
      <c r="F39" s="332"/>
    </row>
    <row r="40" spans="1:6" x14ac:dyDescent="0.15">
      <c r="A40" s="53"/>
      <c r="B40" s="45"/>
      <c r="D40" s="50"/>
      <c r="E40" s="50"/>
      <c r="F40" s="54"/>
    </row>
  </sheetData>
  <customSheetViews>
    <customSheetView guid="{29BE6789-D580-482F-AE13-9E62D887C1AB}" showPageBreaks="1" printArea="1" view="pageBreakPreview" topLeftCell="A16">
      <selection activeCell="D13" sqref="D13:F13"/>
      <pageMargins left="0.94488188976377963" right="0.74803149606299213" top="0.98425196850393704" bottom="0.98425196850393704" header="0.51181102362204722" footer="0.51181102362204722"/>
      <printOptions horizontalCentered="1"/>
      <pageSetup paperSize="9" scale="80" firstPageNumber="10" orientation="portrait" useFirstPageNumber="1" r:id="rId1"/>
      <headerFooter alignWithMargins="0">
        <oddFooter xml:space="preserve">&amp;R참좋은 기억학교(2022.02.14)
</oddFooter>
      </headerFooter>
    </customSheetView>
  </customSheetViews>
  <mergeCells count="18">
    <mergeCell ref="A1:F1"/>
    <mergeCell ref="A5:C5"/>
    <mergeCell ref="A17:C17"/>
    <mergeCell ref="D7:F7"/>
    <mergeCell ref="A2:B2"/>
    <mergeCell ref="A3:B3"/>
    <mergeCell ref="A15:B15"/>
    <mergeCell ref="D33:F33"/>
    <mergeCell ref="D35:F35"/>
    <mergeCell ref="D39:F39"/>
    <mergeCell ref="D21:F21"/>
    <mergeCell ref="D19:F19"/>
    <mergeCell ref="D23:F23"/>
    <mergeCell ref="D25:F25"/>
    <mergeCell ref="D27:F27"/>
    <mergeCell ref="D29:F29"/>
    <mergeCell ref="D31:F31"/>
    <mergeCell ref="D37:F37"/>
  </mergeCells>
  <phoneticPr fontId="2" type="noConversion"/>
  <printOptions horizontalCentered="1"/>
  <pageMargins left="0.94488188976377963" right="0.74803149606299213" top="0.98425196850393704" bottom="0.98425196850393704" header="0.51181102362204722" footer="0.51181102362204722"/>
  <pageSetup paperSize="9" scale="80" firstPageNumber="10" orientation="portrait" useFirstPageNumber="1" r:id="rId2"/>
  <headerFooter alignWithMargins="0">
    <oddFooter xml:space="preserve">&amp;R참좋은기억학교(2023. 9. 7.)
</oddFooter>
  </headerFooter>
  <rowBreaks count="1" manualBreakCount="1">
    <brk id="39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 지정된 범위</vt:lpstr>
      </vt:variant>
      <vt:variant>
        <vt:i4>9</vt:i4>
      </vt:variant>
    </vt:vector>
  </HeadingPairs>
  <TitlesOfParts>
    <vt:vector size="15" baseType="lpstr">
      <vt:lpstr>표지</vt:lpstr>
      <vt:lpstr>예산총칙</vt:lpstr>
      <vt:lpstr>2차추경예산총괄</vt:lpstr>
      <vt:lpstr>2차추경예산내역-세입</vt:lpstr>
      <vt:lpstr>2차추경예산내역-세출</vt:lpstr>
      <vt:lpstr>2차추경 변경사유서</vt:lpstr>
      <vt:lpstr>'2차추경 변경사유서'!Print_Area</vt:lpstr>
      <vt:lpstr>'2차추경예산내역-세입'!Print_Area</vt:lpstr>
      <vt:lpstr>'2차추경예산내역-세출'!Print_Area</vt:lpstr>
      <vt:lpstr>'2차추경예산총괄'!Print_Area</vt:lpstr>
      <vt:lpstr>예산총칙!Print_Area</vt:lpstr>
      <vt:lpstr>표지!Print_Area</vt:lpstr>
      <vt:lpstr>'2차추경 변경사유서'!Print_Titles</vt:lpstr>
      <vt:lpstr>'2차추경예산내역-세입'!Print_Titles</vt:lpstr>
      <vt:lpstr>'2차추경예산내역-세출'!Print_Titles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Administrator</cp:lastModifiedBy>
  <cp:lastPrinted>2023-09-06T05:41:38Z</cp:lastPrinted>
  <dcterms:created xsi:type="dcterms:W3CDTF">2016-12-07T07:13:09Z</dcterms:created>
  <dcterms:modified xsi:type="dcterms:W3CDTF">2023-10-25T04:38:38Z</dcterms:modified>
</cp:coreProperties>
</file>