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. 2023\0. 2023 예산 및 추경\23년\참좋은기억학교) 2023년 1차 추경안\"/>
    </mc:Choice>
  </mc:AlternateContent>
  <xr:revisionPtr revIDLastSave="0" documentId="13_ncr:1_{FD8A06EB-D352-4CA8-A656-F482B15B0CE7}" xr6:coauthVersionLast="45" xr6:coauthVersionMax="47" xr10:uidLastSave="{00000000-0000-0000-0000-000000000000}"/>
  <bookViews>
    <workbookView xWindow="7710" yWindow="1425" windowWidth="24240" windowHeight="13140" activeTab="5" xr2:uid="{00000000-000D-0000-FFFF-FFFF00000000}"/>
  </bookViews>
  <sheets>
    <sheet name="표지" sheetId="5" r:id="rId1"/>
    <sheet name="예산총칙" sheetId="1" r:id="rId2"/>
    <sheet name="1차추경예산총괄" sheetId="2" r:id="rId3"/>
    <sheet name="1차추경예산내역-세입" sheetId="8" r:id="rId4"/>
    <sheet name="1차추경예산내역-세출" sheetId="7" r:id="rId5"/>
    <sheet name="1차추경 변경사유서" sheetId="6" r:id="rId6"/>
  </sheets>
  <externalReferences>
    <externalReference r:id="rId7"/>
    <externalReference r:id="rId8"/>
    <externalReference r:id="rId9"/>
  </externalReferences>
  <definedNames>
    <definedName name="_xlnm.Print_Area" localSheetId="5">'1차추경 변경사유서'!$A$1:$F$43</definedName>
    <definedName name="_xlnm.Print_Area" localSheetId="3">'1차추경예산내역-세입'!$A$1:$I$39</definedName>
    <definedName name="_xlnm.Print_Area" localSheetId="4">'1차추경예산내역-세출'!$A$1:$I$144</definedName>
    <definedName name="_xlnm.Print_Area" localSheetId="2">'1차추경예산총괄'!$A$1:$E$24</definedName>
    <definedName name="_xlnm.Print_Area" localSheetId="1">예산총칙!$A$1:$B$18</definedName>
    <definedName name="_xlnm.Print_Area" localSheetId="0">표지!$A$1:$A$12</definedName>
    <definedName name="_xlnm.Print_Titles" localSheetId="5">'1차추경 변경사유서'!$15:$16</definedName>
    <definedName name="_xlnm.Print_Titles" localSheetId="3">'1차추경예산내역-세입'!$3:$5</definedName>
    <definedName name="_xlnm.Print_Titles" localSheetId="4">'1차추경예산내역-세출'!$3:$5</definedName>
    <definedName name="Z_29BE6789_D580_482F_AE13_9E62D887C1AB_.wvu.PrintArea" localSheetId="5" hidden="1">'1차추경 변경사유서'!$A$1:$F$25</definedName>
    <definedName name="Z_29BE6789_D580_482F_AE13_9E62D887C1AB_.wvu.PrintArea" localSheetId="3" hidden="1">'1차추경예산내역-세입'!$A$1:$I$39</definedName>
    <definedName name="Z_29BE6789_D580_482F_AE13_9E62D887C1AB_.wvu.PrintArea" localSheetId="4" hidden="1">'1차추경예산내역-세출'!$A$1:$I$144</definedName>
    <definedName name="Z_29BE6789_D580_482F_AE13_9E62D887C1AB_.wvu.PrintArea" localSheetId="2" hidden="1">'1차추경예산총괄'!$A$1:$E$24</definedName>
    <definedName name="Z_29BE6789_D580_482F_AE13_9E62D887C1AB_.wvu.PrintArea" localSheetId="0" hidden="1">표지!$A$1:$A$12</definedName>
    <definedName name="Z_29BE6789_D580_482F_AE13_9E62D887C1AB_.wvu.PrintTitles" localSheetId="5" hidden="1">'1차추경 변경사유서'!$15:$16</definedName>
    <definedName name="Z_29BE6789_D580_482F_AE13_9E62D887C1AB_.wvu.PrintTitles" localSheetId="3" hidden="1">'1차추경예산내역-세입'!$3:$5</definedName>
    <definedName name="Z_29BE6789_D580_482F_AE13_9E62D887C1AB_.wvu.PrintTitles" localSheetId="4" hidden="1">'1차추경예산내역-세출'!$3:$5</definedName>
  </definedNames>
  <calcPr calcId="191029"/>
  <customWorkbookViews>
    <customWorkbookView name="PC - 사용자 보기" guid="{29BE6789-D580-482F-AE13-9E62D887C1AB}" mergeInterval="0" personalView="1" maximized="1" windowWidth="1596" windowHeight="607" activeSheetId="7"/>
  </customWorkbookViews>
</workbook>
</file>

<file path=xl/calcChain.xml><?xml version="1.0" encoding="utf-8"?>
<calcChain xmlns="http://schemas.openxmlformats.org/spreadsheetml/2006/main">
  <c r="I144" i="7" l="1"/>
  <c r="I33" i="8"/>
  <c r="I10" i="8"/>
  <c r="I31" i="8"/>
  <c r="I142" i="7" l="1"/>
  <c r="D32" i="6"/>
  <c r="E32" i="6"/>
  <c r="C32" i="6"/>
  <c r="I36" i="7"/>
  <c r="E83" i="7"/>
  <c r="I86" i="7"/>
  <c r="I85" i="7"/>
  <c r="I22" i="8"/>
  <c r="D8" i="6"/>
  <c r="F8" i="6" s="1"/>
  <c r="C8" i="6"/>
  <c r="B8" i="6"/>
  <c r="A8" i="6"/>
  <c r="F32" i="6" l="1"/>
  <c r="E7" i="8" l="1"/>
  <c r="E9" i="8" l="1"/>
  <c r="D34" i="6"/>
  <c r="D42" i="6" l="1"/>
  <c r="C28" i="6"/>
  <c r="D20" i="6"/>
  <c r="I16" i="8"/>
  <c r="I39" i="7"/>
  <c r="I38" i="7"/>
  <c r="I122" i="7" l="1"/>
  <c r="I32" i="7"/>
  <c r="I28" i="7"/>
  <c r="J28" i="7"/>
  <c r="I39" i="8" l="1"/>
  <c r="I38" i="8"/>
  <c r="I37" i="8"/>
  <c r="E36" i="8" l="1"/>
  <c r="D47" i="7" l="1"/>
  <c r="C10" i="2" l="1"/>
  <c r="C9" i="2"/>
  <c r="C8" i="2"/>
  <c r="C7" i="2"/>
  <c r="K134" i="7"/>
  <c r="K135" i="7"/>
  <c r="I32" i="8"/>
  <c r="K21" i="8"/>
  <c r="I64" i="7"/>
  <c r="I58" i="7"/>
  <c r="I136" i="7"/>
  <c r="I113" i="7"/>
  <c r="I110" i="7"/>
  <c r="I99" i="7"/>
  <c r="I96" i="7"/>
  <c r="I42" i="7"/>
  <c r="I41" i="7"/>
  <c r="M40" i="7"/>
  <c r="M39" i="7"/>
  <c r="I40" i="7"/>
  <c r="I30" i="7"/>
  <c r="I25" i="7"/>
  <c r="I24" i="7"/>
  <c r="I23" i="7"/>
  <c r="I22" i="7"/>
  <c r="I11" i="7"/>
  <c r="I10" i="7"/>
  <c r="I21" i="7"/>
  <c r="I20" i="7"/>
  <c r="I19" i="7"/>
  <c r="I18" i="7"/>
  <c r="I17" i="7"/>
  <c r="I16" i="7"/>
  <c r="I15" i="7"/>
  <c r="I14" i="7"/>
  <c r="I13" i="7"/>
  <c r="I12" i="7"/>
  <c r="I49" i="7"/>
  <c r="I100" i="7"/>
  <c r="D6" i="2" l="1"/>
  <c r="F138" i="7"/>
  <c r="C36" i="6"/>
  <c r="D12" i="6"/>
  <c r="I90" i="7" l="1"/>
  <c r="I77" i="7"/>
  <c r="I70" i="7"/>
  <c r="I69" i="7"/>
  <c r="D10" i="6"/>
  <c r="D43" i="7" l="1"/>
  <c r="D53" i="7"/>
  <c r="D55" i="7"/>
  <c r="D26" i="6" s="1"/>
  <c r="D62" i="7"/>
  <c r="D28" i="6" s="1"/>
  <c r="D71" i="7"/>
  <c r="D78" i="7"/>
  <c r="D79" i="7"/>
  <c r="D80" i="7"/>
  <c r="D30" i="6" s="1"/>
  <c r="D83" i="7"/>
  <c r="D95" i="7"/>
  <c r="D38" i="6" s="1"/>
  <c r="D106" i="7"/>
  <c r="D36" i="6"/>
  <c r="D123" i="7"/>
  <c r="D143" i="7"/>
  <c r="D137" i="7"/>
  <c r="D134" i="7"/>
  <c r="D40" i="6" s="1"/>
  <c r="D128" i="7"/>
  <c r="I54" i="7"/>
  <c r="I51" i="7"/>
  <c r="I132" i="7" l="1"/>
  <c r="I133" i="7"/>
  <c r="I115" i="7" l="1"/>
  <c r="I114" i="7"/>
  <c r="I17" i="8" l="1"/>
  <c r="I118" i="7"/>
  <c r="I116" i="7"/>
  <c r="I119" i="7"/>
  <c r="I120" i="7"/>
  <c r="I117" i="7"/>
  <c r="I98" i="7"/>
  <c r="E15" i="8" l="1"/>
  <c r="I127" i="7" l="1"/>
  <c r="E126" i="7" s="1"/>
  <c r="I109" i="7"/>
  <c r="I105" i="7"/>
  <c r="I104" i="7"/>
  <c r="I103" i="7"/>
  <c r="I102" i="7"/>
  <c r="I101" i="7"/>
  <c r="I93" i="7"/>
  <c r="I76" i="7"/>
  <c r="I75" i="7"/>
  <c r="I68" i="7"/>
  <c r="E97" i="7" l="1"/>
  <c r="E34" i="6" s="1"/>
  <c r="F34" i="6" s="1"/>
  <c r="I107" i="7"/>
  <c r="I91" i="7"/>
  <c r="E89" i="7" s="1"/>
  <c r="I73" i="7"/>
  <c r="I129" i="7"/>
  <c r="I34" i="7"/>
  <c r="E26" i="7" s="1"/>
  <c r="E20" i="6" s="1"/>
  <c r="E12" i="8"/>
  <c r="E21" i="8"/>
  <c r="I112" i="7"/>
  <c r="E19" i="8" l="1"/>
  <c r="E18" i="8" s="1"/>
  <c r="D8" i="2" s="1"/>
  <c r="D5" i="6" l="1"/>
  <c r="D24" i="6" l="1"/>
  <c r="D22" i="6"/>
  <c r="D18" i="6"/>
  <c r="D17" i="6"/>
  <c r="D6" i="6"/>
  <c r="I130" i="7" l="1"/>
  <c r="I72" i="7" l="1"/>
  <c r="E24" i="8"/>
  <c r="E23" i="8" s="1"/>
  <c r="D9" i="2" s="1"/>
  <c r="E30" i="8" l="1"/>
  <c r="E10" i="6" s="1"/>
  <c r="F10" i="6" s="1"/>
  <c r="I29" i="8"/>
  <c r="I131" i="7" l="1"/>
  <c r="E128" i="7" s="1"/>
  <c r="E37" i="7" l="1"/>
  <c r="E24" i="6" s="1"/>
  <c r="F37" i="7" l="1"/>
  <c r="E35" i="7"/>
  <c r="E22" i="6" s="1"/>
  <c r="I46" i="7"/>
  <c r="I45" i="7"/>
  <c r="I44" i="7"/>
  <c r="I61" i="7"/>
  <c r="I60" i="7"/>
  <c r="I59" i="7"/>
  <c r="I57" i="7"/>
  <c r="I56" i="7"/>
  <c r="I63" i="7"/>
  <c r="I67" i="7"/>
  <c r="I66" i="7"/>
  <c r="I82" i="7"/>
  <c r="I81" i="7"/>
  <c r="I84" i="7"/>
  <c r="I121" i="7"/>
  <c r="I138" i="7"/>
  <c r="E137" i="7" s="1"/>
  <c r="I135" i="7"/>
  <c r="E80" i="7" l="1"/>
  <c r="E111" i="7"/>
  <c r="E134" i="7"/>
  <c r="E43" i="7"/>
  <c r="I9" i="7"/>
  <c r="F35" i="7"/>
  <c r="G35" i="7"/>
  <c r="E125" i="7" l="1"/>
  <c r="D23" i="2" s="1"/>
  <c r="E40" i="6"/>
  <c r="F40" i="6" s="1"/>
  <c r="E36" i="6"/>
  <c r="F36" i="6" s="1"/>
  <c r="E79" i="7"/>
  <c r="E30" i="6"/>
  <c r="F30" i="6" s="1"/>
  <c r="E9" i="7"/>
  <c r="E18" i="6" s="1"/>
  <c r="F26" i="7"/>
  <c r="G37" i="7"/>
  <c r="G26" i="7"/>
  <c r="K36" i="7" l="1"/>
  <c r="J38" i="7"/>
  <c r="J41" i="7" s="1"/>
  <c r="F9" i="7"/>
  <c r="E8" i="7"/>
  <c r="D17" i="2" s="1"/>
  <c r="G9" i="7"/>
  <c r="G36" i="8"/>
  <c r="F36" i="8"/>
  <c r="E35" i="8"/>
  <c r="E34" i="8" s="1"/>
  <c r="D11" i="2" s="1"/>
  <c r="E28" i="8"/>
  <c r="F25" i="8"/>
  <c r="F24" i="8"/>
  <c r="F23" i="8"/>
  <c r="F21" i="8"/>
  <c r="F20" i="8"/>
  <c r="F19" i="8"/>
  <c r="F18" i="8"/>
  <c r="F14" i="8"/>
  <c r="F13" i="8"/>
  <c r="E143" i="7"/>
  <c r="E141" i="7"/>
  <c r="I124" i="7"/>
  <c r="E123" i="7" s="1"/>
  <c r="E108" i="7"/>
  <c r="E106" i="7"/>
  <c r="E95" i="7"/>
  <c r="E38" i="6" s="1"/>
  <c r="F38" i="6" s="1"/>
  <c r="E92" i="7"/>
  <c r="E53" i="7"/>
  <c r="E50" i="7"/>
  <c r="E48" i="7"/>
  <c r="G43" i="7"/>
  <c r="E47" i="7" l="1"/>
  <c r="D18" i="2" s="1"/>
  <c r="E94" i="7"/>
  <c r="D22" i="2" s="1"/>
  <c r="E140" i="7"/>
  <c r="E139" i="7" s="1"/>
  <c r="E88" i="7"/>
  <c r="D21" i="2" s="1"/>
  <c r="F97" i="7"/>
  <c r="E55" i="7"/>
  <c r="F108" i="7"/>
  <c r="G108" i="7"/>
  <c r="F106" i="7"/>
  <c r="G106" i="7"/>
  <c r="F80" i="7"/>
  <c r="E62" i="7"/>
  <c r="G35" i="8"/>
  <c r="F111" i="7"/>
  <c r="F43" i="7"/>
  <c r="E65" i="7"/>
  <c r="E74" i="7"/>
  <c r="E71" i="7"/>
  <c r="E27" i="8"/>
  <c r="E26" i="8" s="1"/>
  <c r="D10" i="2" s="1"/>
  <c r="F28" i="8"/>
  <c r="G28" i="8"/>
  <c r="G15" i="8"/>
  <c r="F15" i="8"/>
  <c r="G9" i="8"/>
  <c r="F9" i="8"/>
  <c r="E8" i="8"/>
  <c r="F35" i="8"/>
  <c r="F50" i="7"/>
  <c r="G50" i="7"/>
  <c r="F92" i="7"/>
  <c r="G92" i="7"/>
  <c r="F126" i="7"/>
  <c r="G126" i="7"/>
  <c r="G141" i="7"/>
  <c r="F141" i="7"/>
  <c r="F48" i="7"/>
  <c r="G48" i="7"/>
  <c r="F95" i="7"/>
  <c r="G95" i="7"/>
  <c r="F123" i="7"/>
  <c r="G123" i="7"/>
  <c r="G137" i="7"/>
  <c r="F137" i="7"/>
  <c r="G143" i="7"/>
  <c r="F143" i="7"/>
  <c r="F53" i="7"/>
  <c r="G53" i="7"/>
  <c r="F89" i="7"/>
  <c r="G89" i="7"/>
  <c r="G62" i="7" l="1"/>
  <c r="E28" i="6"/>
  <c r="F28" i="6" s="1"/>
  <c r="E42" i="6"/>
  <c r="F42" i="6" s="1"/>
  <c r="D24" i="2"/>
  <c r="G55" i="7"/>
  <c r="E26" i="6"/>
  <c r="F26" i="6" s="1"/>
  <c r="G34" i="8"/>
  <c r="E12" i="6"/>
  <c r="G83" i="7"/>
  <c r="E78" i="7"/>
  <c r="D20" i="2" s="1"/>
  <c r="E52" i="7"/>
  <c r="F139" i="7"/>
  <c r="G139" i="7"/>
  <c r="F140" i="7"/>
  <c r="F26" i="8"/>
  <c r="G26" i="8"/>
  <c r="F34" i="8"/>
  <c r="F71" i="7"/>
  <c r="F65" i="7"/>
  <c r="F47" i="7"/>
  <c r="E18" i="2"/>
  <c r="G47" i="7"/>
  <c r="G134" i="7"/>
  <c r="E87" i="7"/>
  <c r="F83" i="7"/>
  <c r="G111" i="7"/>
  <c r="G71" i="7"/>
  <c r="F55" i="7"/>
  <c r="F62" i="7"/>
  <c r="G97" i="7"/>
  <c r="F134" i="7"/>
  <c r="G80" i="7"/>
  <c r="G30" i="8"/>
  <c r="F30" i="8"/>
  <c r="G65" i="7"/>
  <c r="G128" i="7"/>
  <c r="F128" i="7"/>
  <c r="F74" i="7"/>
  <c r="G74" i="7"/>
  <c r="F8" i="8"/>
  <c r="G8" i="8"/>
  <c r="E11" i="8"/>
  <c r="D7" i="2" s="1"/>
  <c r="D5" i="2" s="1"/>
  <c r="F12" i="8"/>
  <c r="G12" i="8"/>
  <c r="G27" i="8"/>
  <c r="F27" i="8"/>
  <c r="G140" i="7"/>
  <c r="G88" i="7"/>
  <c r="F88" i="7"/>
  <c r="E7" i="7" l="1"/>
  <c r="D19" i="2"/>
  <c r="G79" i="7"/>
  <c r="E6" i="6"/>
  <c r="E6" i="8"/>
  <c r="K16" i="8" s="1"/>
  <c r="G125" i="7"/>
  <c r="F125" i="7"/>
  <c r="F79" i="7"/>
  <c r="G94" i="7"/>
  <c r="F94" i="7"/>
  <c r="G87" i="7"/>
  <c r="G8" i="7"/>
  <c r="F8" i="7"/>
  <c r="F52" i="7"/>
  <c r="D16" i="2"/>
  <c r="G7" i="7"/>
  <c r="G52" i="7"/>
  <c r="F7" i="8"/>
  <c r="G7" i="8"/>
  <c r="F11" i="8"/>
  <c r="G11" i="8"/>
  <c r="K14" i="8" l="1"/>
  <c r="M13" i="8"/>
  <c r="E5" i="6"/>
  <c r="E6" i="7"/>
  <c r="F78" i="7"/>
  <c r="G78" i="7"/>
  <c r="F87" i="7"/>
  <c r="F7" i="7"/>
  <c r="F6" i="8"/>
  <c r="G6" i="8"/>
  <c r="E17" i="6" l="1"/>
  <c r="G6" i="7"/>
  <c r="F6" i="7"/>
  <c r="F12" i="6"/>
  <c r="F6" i="6" l="1"/>
  <c r="C24" i="6" l="1"/>
  <c r="C22" i="6"/>
  <c r="C20" i="6"/>
  <c r="C18" i="6"/>
  <c r="B18" i="6"/>
  <c r="A18" i="6"/>
  <c r="F20" i="6" l="1"/>
  <c r="F24" i="6"/>
  <c r="F22" i="6"/>
  <c r="F18" i="6"/>
  <c r="F5" i="6"/>
  <c r="F17" i="6" l="1"/>
  <c r="E22" i="2"/>
  <c r="E20" i="2"/>
  <c r="E23" i="2" l="1"/>
  <c r="E19" i="2" l="1"/>
  <c r="E21" i="2"/>
  <c r="E24" i="2" l="1"/>
  <c r="E17" i="2"/>
  <c r="E16" i="2"/>
  <c r="E11" i="2"/>
  <c r="E10" i="2"/>
  <c r="E9" i="2"/>
  <c r="E8" i="2"/>
  <c r="E7" i="2"/>
  <c r="E6" i="2"/>
  <c r="E5" i="2" l="1"/>
</calcChain>
</file>

<file path=xl/sharedStrings.xml><?xml version="1.0" encoding="utf-8"?>
<sst xmlns="http://schemas.openxmlformats.org/spreadsheetml/2006/main" count="385" uniqueCount="276">
  <si>
    <t>사회복지법인 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</si>
  <si>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</si>
  <si>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</si>
  <si>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</si>
  <si>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</si>
  <si>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</si>
  <si>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</si>
  <si>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</si>
  <si>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</si>
  <si>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</si>
  <si>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계</t>
    <phoneticPr fontId="2" type="noConversion"/>
  </si>
  <si>
    <t xml:space="preserve"> 예  산  총  칙</t>
    <phoneticPr fontId="2" type="noConversion"/>
  </si>
  <si>
    <t xml:space="preserve">                (단위: 원)</t>
    <phoneticPr fontId="2" type="noConversion"/>
  </si>
  <si>
    <t>과목</t>
    <phoneticPr fontId="2" type="noConversion"/>
  </si>
  <si>
    <t>산출근거</t>
    <phoneticPr fontId="2" type="noConversion"/>
  </si>
  <si>
    <t xml:space="preserve">관 </t>
    <phoneticPr fontId="2" type="noConversion"/>
  </si>
  <si>
    <t xml:space="preserve">항 </t>
    <phoneticPr fontId="2" type="noConversion"/>
  </si>
  <si>
    <t>목</t>
    <phoneticPr fontId="2" type="noConversion"/>
  </si>
  <si>
    <t>액수</t>
    <phoneticPr fontId="2" type="noConversion"/>
  </si>
  <si>
    <t>%</t>
    <phoneticPr fontId="2" type="noConversion"/>
  </si>
  <si>
    <t>총계</t>
    <phoneticPr fontId="2" type="noConversion"/>
  </si>
  <si>
    <t xml:space="preserve">이월금 </t>
    <phoneticPr fontId="2" type="noConversion"/>
  </si>
  <si>
    <t xml:space="preserve">전년도이월금 </t>
    <phoneticPr fontId="2" type="noConversion"/>
  </si>
  <si>
    <t>전년도 이월금</t>
    <phoneticPr fontId="2" type="noConversion"/>
  </si>
  <si>
    <t>잡수입</t>
    <phoneticPr fontId="2" type="noConversion"/>
  </si>
  <si>
    <t>사무비</t>
    <phoneticPr fontId="2" type="noConversion"/>
  </si>
  <si>
    <t>인건비</t>
    <phoneticPr fontId="2" type="noConversion"/>
  </si>
  <si>
    <t>재산조성비</t>
    <phoneticPr fontId="2" type="noConversion"/>
  </si>
  <si>
    <t>시설비</t>
    <phoneticPr fontId="2" type="noConversion"/>
  </si>
  <si>
    <t>자산취득비</t>
    <phoneticPr fontId="2" type="noConversion"/>
  </si>
  <si>
    <t>입소자부담금수입</t>
    <phoneticPr fontId="2" type="noConversion"/>
  </si>
  <si>
    <t>입소비용수입</t>
    <phoneticPr fontId="2" type="noConversion"/>
  </si>
  <si>
    <t>보조금수입</t>
    <phoneticPr fontId="2" type="noConversion"/>
  </si>
  <si>
    <t>후원금수입</t>
    <phoneticPr fontId="2" type="noConversion"/>
  </si>
  <si>
    <t>지정후원금</t>
    <phoneticPr fontId="2" type="noConversion"/>
  </si>
  <si>
    <t>비지정후원금</t>
    <phoneticPr fontId="2" type="noConversion"/>
  </si>
  <si>
    <t>기타잡수입</t>
    <phoneticPr fontId="2" type="noConversion"/>
  </si>
  <si>
    <t>전입금</t>
    <phoneticPr fontId="2" type="noConversion"/>
  </si>
  <si>
    <t>경상보조금수입</t>
    <phoneticPr fontId="2" type="noConversion"/>
  </si>
  <si>
    <t>이월금</t>
    <phoneticPr fontId="2" type="noConversion"/>
  </si>
  <si>
    <t>급여</t>
    <phoneticPr fontId="2" type="noConversion"/>
  </si>
  <si>
    <t>급여(기본급)</t>
    <phoneticPr fontId="2" type="noConversion"/>
  </si>
  <si>
    <t>제수당</t>
    <phoneticPr fontId="2" type="noConversion"/>
  </si>
  <si>
    <t>사회보험부담금</t>
    <phoneticPr fontId="2" type="noConversion"/>
  </si>
  <si>
    <t>사회보험부담비용</t>
    <phoneticPr fontId="2" type="noConversion"/>
  </si>
  <si>
    <t>기타후생경비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</si>
  <si>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</si>
  <si>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</si>
  <si>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</si>
  <si>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운영비</t>
    <phoneticPr fontId="2" type="noConversion"/>
  </si>
  <si>
    <t>여비</t>
    <phoneticPr fontId="2" type="noConversion"/>
  </si>
  <si>
    <t>수용비 및 수수료</t>
    <phoneticPr fontId="2" type="noConversion"/>
  </si>
  <si>
    <t>공공요금</t>
    <phoneticPr fontId="2" type="noConversion"/>
  </si>
  <si>
    <t>제세공과금</t>
    <phoneticPr fontId="2" type="noConversion"/>
  </si>
  <si>
    <t>차량비</t>
    <phoneticPr fontId="2" type="noConversion"/>
  </si>
  <si>
    <t>기타운영비</t>
    <phoneticPr fontId="2" type="noConversion"/>
  </si>
  <si>
    <t>사업비</t>
    <phoneticPr fontId="2" type="noConversion"/>
  </si>
  <si>
    <t>생계비</t>
    <phoneticPr fontId="2" type="noConversion"/>
  </si>
  <si>
    <t>수용기관경비</t>
    <phoneticPr fontId="2" type="noConversion"/>
  </si>
  <si>
    <t>기능회복훈련사업비</t>
    <phoneticPr fontId="2" type="noConversion"/>
  </si>
  <si>
    <t>간호 및 처치사업비</t>
    <phoneticPr fontId="2" type="noConversion"/>
  </si>
  <si>
    <t>일반사업비</t>
    <phoneticPr fontId="2" type="noConversion"/>
  </si>
  <si>
    <t>홍보출판사업비</t>
    <phoneticPr fontId="2" type="noConversion"/>
  </si>
  <si>
    <t>직원연수교육비</t>
    <phoneticPr fontId="2" type="noConversion"/>
  </si>
  <si>
    <t>홍보출판비</t>
    <phoneticPr fontId="2" type="noConversion"/>
  </si>
  <si>
    <t>직원연수 및 교육비</t>
    <phoneticPr fontId="2" type="noConversion"/>
  </si>
  <si>
    <t>자원봉사자 및 후원자 관리비</t>
    <phoneticPr fontId="2" type="noConversion"/>
  </si>
  <si>
    <t>기타사업비</t>
    <phoneticPr fontId="2" type="noConversion"/>
  </si>
  <si>
    <t>예비비 및 기타</t>
    <phoneticPr fontId="2" type="noConversion"/>
  </si>
  <si>
    <t>예비비</t>
    <phoneticPr fontId="2" type="noConversion"/>
  </si>
  <si>
    <t>퇴직금 및 퇴직적립금</t>
    <phoneticPr fontId="2" type="noConversion"/>
  </si>
  <si>
    <t>*방범서비스료: 77,000원 x 12회</t>
    <phoneticPr fontId="2" type="noConversion"/>
  </si>
  <si>
    <t>봉사자 및 후원자 관리비</t>
    <phoneticPr fontId="2" type="noConversion"/>
  </si>
  <si>
    <t>참좋은기억학교</t>
    <phoneticPr fontId="2" type="noConversion"/>
  </si>
  <si>
    <t>입소자부담금수입</t>
    <phoneticPr fontId="2" type="noConversion"/>
  </si>
  <si>
    <t>입소비용수입</t>
    <phoneticPr fontId="2" type="noConversion"/>
  </si>
  <si>
    <t>보 조 금 수 입</t>
    <phoneticPr fontId="2" type="noConversion"/>
  </si>
  <si>
    <t>보 조 금 수 입</t>
    <phoneticPr fontId="2" type="noConversion"/>
  </si>
  <si>
    <t>후 원 금 수 입</t>
    <phoneticPr fontId="2" type="noConversion"/>
  </si>
  <si>
    <t>후 원 금 수 입</t>
    <phoneticPr fontId="2" type="noConversion"/>
  </si>
  <si>
    <t>전     입     금</t>
    <phoneticPr fontId="2" type="noConversion"/>
  </si>
  <si>
    <t>잡     수     입</t>
    <phoneticPr fontId="2" type="noConversion"/>
  </si>
  <si>
    <t>이     월     금</t>
    <phoneticPr fontId="2" type="noConversion"/>
  </si>
  <si>
    <t>(단위 : 원)</t>
    <phoneticPr fontId="2" type="noConversion"/>
  </si>
  <si>
    <t>사     무     비</t>
    <phoneticPr fontId="8" type="noConversion"/>
  </si>
  <si>
    <t>인     건     비</t>
    <phoneticPr fontId="8" type="noConversion"/>
  </si>
  <si>
    <t>운     영     비</t>
    <phoneticPr fontId="2" type="noConversion"/>
  </si>
  <si>
    <t>업 무 추 진 비</t>
    <phoneticPr fontId="2" type="noConversion"/>
  </si>
  <si>
    <t>재 산 조 성 비</t>
    <phoneticPr fontId="2" type="noConversion"/>
  </si>
  <si>
    <t>시     설     비</t>
    <phoneticPr fontId="2" type="noConversion"/>
  </si>
  <si>
    <t>사     업     비</t>
    <phoneticPr fontId="2" type="noConversion"/>
  </si>
  <si>
    <t>예비비 및 기타</t>
    <phoneticPr fontId="2" type="noConversion"/>
  </si>
  <si>
    <t>일 반 사 업 비</t>
    <phoneticPr fontId="2" type="noConversion"/>
  </si>
  <si>
    <t>변경예산 총계</t>
    <phoneticPr fontId="2" type="noConversion"/>
  </si>
  <si>
    <t>변경예산 총계</t>
    <phoneticPr fontId="2" type="noConversion"/>
  </si>
  <si>
    <t>증감(B-A)</t>
    <phoneticPr fontId="2" type="noConversion"/>
  </si>
  <si>
    <t>기타예금이자수입</t>
    <phoneticPr fontId="2" type="noConversion"/>
  </si>
  <si>
    <t>6. 보편적으로 발생하는 지출에 있어서는 세출예산에도 불구하고 초과 집행하고 차기 이사회에서</t>
    <phoneticPr fontId="2" type="noConversion"/>
  </si>
  <si>
    <t xml:space="preserve">    있다.</t>
    <phoneticPr fontId="2" type="noConversion"/>
  </si>
  <si>
    <t>시설장비유지비</t>
    <phoneticPr fontId="2" type="noConversion"/>
  </si>
  <si>
    <t>4. 사업수입(본인부담금), 국시비보조금, 후원금 등의 세입이 감소할 경우 기존사업을 축소할 수 있다.</t>
    <phoneticPr fontId="2" type="noConversion"/>
  </si>
  <si>
    <t xml:space="preserve">   추가경정 예산을 승인 받을 수 있다.</t>
    <phoneticPr fontId="2" type="noConversion"/>
  </si>
  <si>
    <t>재활프로그램사업비</t>
    <phoneticPr fontId="2" type="noConversion"/>
  </si>
  <si>
    <t>일상생활지원사업비</t>
    <phoneticPr fontId="2" type="noConversion"/>
  </si>
  <si>
    <t>특별사업지원사업비</t>
    <phoneticPr fontId="2" type="noConversion"/>
  </si>
  <si>
    <t>간호및처치사업비</t>
    <phoneticPr fontId="2" type="noConversion"/>
  </si>
  <si>
    <t>상담사업비</t>
    <phoneticPr fontId="2" type="noConversion"/>
  </si>
  <si>
    <t xml:space="preserve">5. 사업수입(본인부담금),국시비보조금, 후원금등의 세입이 증가 할 경우 세입세출예산을 초과할  </t>
    <phoneticPr fontId="2" type="noConversion"/>
  </si>
  <si>
    <t xml:space="preserve">   수 있다.</t>
    <phoneticPr fontId="2" type="noConversion"/>
  </si>
  <si>
    <t>7. 세출예산에서 초과지출이 발생할 경우에 동일관 내의 목간전용으로 부족한 예산을 집행할 수가</t>
    <phoneticPr fontId="2" type="noConversion"/>
  </si>
  <si>
    <t>*신원보증보험: 50,000원 x 2명</t>
    <phoneticPr fontId="2" type="noConversion"/>
  </si>
  <si>
    <t>*간호처치 및 관리: 150,000원 x 4회</t>
    <phoneticPr fontId="2" type="noConversion"/>
  </si>
  <si>
    <t>*주방 닥트청소 및 유지관리비 : 300,000원 x 1회</t>
    <phoneticPr fontId="2" type="noConversion"/>
  </si>
  <si>
    <t>*기타수용비 및 인쇄비: 300,000원 x 4회</t>
    <phoneticPr fontId="2" type="noConversion"/>
  </si>
  <si>
    <t>보조금수입</t>
    <phoneticPr fontId="2" type="noConversion"/>
  </si>
  <si>
    <t>전년도이월금</t>
    <phoneticPr fontId="2" type="noConversion"/>
  </si>
  <si>
    <t>시군구보조금수입</t>
    <phoneticPr fontId="2" type="noConversion"/>
  </si>
  <si>
    <t>국고보조금수입</t>
    <phoneticPr fontId="2" type="noConversion"/>
  </si>
  <si>
    <t>국고보조금</t>
    <phoneticPr fontId="2" type="noConversion"/>
  </si>
  <si>
    <t>시도보조금</t>
    <phoneticPr fontId="2" type="noConversion"/>
  </si>
  <si>
    <t>시군구보조금</t>
    <phoneticPr fontId="2" type="noConversion"/>
  </si>
  <si>
    <t>*인터넷 사용료 및 전화료: 70,000원 x 12월</t>
    <phoneticPr fontId="2" type="noConversion"/>
  </si>
  <si>
    <t>*시설건물관리비: 500,000원 x 12회</t>
    <phoneticPr fontId="2" type="noConversion"/>
  </si>
  <si>
    <t>반환금</t>
    <phoneticPr fontId="2" type="noConversion"/>
  </si>
  <si>
    <t>■ 사업장명 : 참좋은기억학교</t>
  </si>
  <si>
    <t>○ 세입의 주요내용</t>
    <phoneticPr fontId="2" type="noConversion"/>
  </si>
  <si>
    <t xml:space="preserve">  (단위: 원)</t>
    <phoneticPr fontId="2" type="noConversion"/>
  </si>
  <si>
    <t xml:space="preserve">○ 세출의 주요내용 </t>
    <phoneticPr fontId="2" type="noConversion"/>
  </si>
  <si>
    <t>■ 사업장명 : 참좋은기억학교</t>
    <phoneticPr fontId="2" type="noConversion"/>
  </si>
  <si>
    <t>3. 본 예산은 사회복지법인 재무회계규칙 제 2장 예산과 결산에 의거 편성하며 집행한다.</t>
    <phoneticPr fontId="2" type="noConversion"/>
  </si>
  <si>
    <t>*직원 복지포인트: 1,850,000원 x 1회</t>
    <phoneticPr fontId="2" type="noConversion"/>
  </si>
  <si>
    <t>*직원 단체상해보험: 90,000원 x 1회</t>
    <phoneticPr fontId="2" type="noConversion"/>
  </si>
  <si>
    <t>*기타 복리후생경비: 200,000원 x 2회</t>
    <phoneticPr fontId="2" type="noConversion"/>
  </si>
  <si>
    <t>*명절선물 및 포상 등: 200,000원 x 2회</t>
    <phoneticPr fontId="2" type="noConversion"/>
  </si>
  <si>
    <t>*기타사업 및 교구구입비: 100,000원 x 2회</t>
    <phoneticPr fontId="2" type="noConversion"/>
  </si>
  <si>
    <t>*기억학교협회 감사의 날: 600,000원 x 1회</t>
    <phoneticPr fontId="2" type="noConversion"/>
  </si>
  <si>
    <t>*냉난방기 유지관리비 外: 550,000원 x 1회</t>
    <phoneticPr fontId="2" type="noConversion"/>
  </si>
  <si>
    <t>*송영차량구입 월할부금(쉐보레 스파크): 238,333원 x 12회</t>
    <phoneticPr fontId="2" type="noConversion"/>
  </si>
  <si>
    <t>*사무용품 및 집기구입: 340,600원 x 8회</t>
    <phoneticPr fontId="2" type="noConversion"/>
  </si>
  <si>
    <t>*복사기/복합기임차료: 204,600원 x 12월</t>
    <phoneticPr fontId="2" type="noConversion"/>
  </si>
  <si>
    <t>*기타예금이자수입: 15,050원 * 2회</t>
    <phoneticPr fontId="2" type="noConversion"/>
  </si>
  <si>
    <t xml:space="preserve"> </t>
    <phoneticPr fontId="2" type="noConversion"/>
  </si>
  <si>
    <t>*사무기기(데스크탑 등) 렌탈이용료: 204,600원 x 12회</t>
    <phoneticPr fontId="2" type="noConversion"/>
  </si>
  <si>
    <t>*사회복지사 보수교육: 28,000원 x 6명</t>
    <phoneticPr fontId="2" type="noConversion"/>
  </si>
  <si>
    <t>법인전입금(후원금)</t>
    <phoneticPr fontId="2" type="noConversion"/>
  </si>
  <si>
    <t>*자동차세 外: 80,000원 x 3대</t>
    <phoneticPr fontId="2" type="noConversion"/>
  </si>
  <si>
    <t>*유류대: 600,000원 x 12월(송영차량 3대)</t>
    <phoneticPr fontId="2" type="noConversion"/>
  </si>
  <si>
    <t>*노후비품 교체 자산취득비: 250,000원 x 2회</t>
  </si>
  <si>
    <t>법인전입금</t>
    <phoneticPr fontId="2" type="noConversion"/>
  </si>
  <si>
    <t>자격수당 : 100,000원 x 6회 x 3명</t>
    <phoneticPr fontId="2" type="noConversion"/>
  </si>
  <si>
    <t>*직원연수: 500,000원 x 2회</t>
    <phoneticPr fontId="2" type="noConversion"/>
  </si>
  <si>
    <t>*자격수당 : 1,800,000원</t>
    <phoneticPr fontId="2" type="noConversion"/>
  </si>
  <si>
    <t xml:space="preserve">*차량관리비 및 수리비 : 200,000원 x 3대 x 4회 </t>
    <phoneticPr fontId="2" type="noConversion"/>
  </si>
  <si>
    <t>*김장비용 : 2,000,000원 x 1회</t>
    <phoneticPr fontId="2" type="noConversion"/>
  </si>
  <si>
    <t>*치매예방체조 外: 50,000원 x 4회</t>
    <phoneticPr fontId="2" type="noConversion"/>
  </si>
  <si>
    <t xml:space="preserve">2023년 참좋은기억학교 </t>
    <phoneticPr fontId="2" type="noConversion"/>
  </si>
  <si>
    <t>*영업배상책임보험 外: 500,000원 x 2회</t>
    <phoneticPr fontId="2" type="noConversion"/>
  </si>
  <si>
    <t>*기타세금 및 각종 협회비: 300,000원 x 6회</t>
    <phoneticPr fontId="2" type="noConversion"/>
  </si>
  <si>
    <t>*직원식대비: 300,000원 x 12월</t>
    <phoneticPr fontId="2" type="noConversion"/>
  </si>
  <si>
    <t>*직원상용피복비: 50,000원 x 9명</t>
    <phoneticPr fontId="2" type="noConversion"/>
  </si>
  <si>
    <t>*수용기관경비: 100,000원 x 2회</t>
    <phoneticPr fontId="2" type="noConversion"/>
  </si>
  <si>
    <t>*놀이교실: 50,000원 x 2회</t>
  </si>
  <si>
    <t>*음악교실: 100,000원 x 2회</t>
  </si>
  <si>
    <t>*문학교실: 20,000원 x 3회</t>
  </si>
  <si>
    <t>*기타 복지프로그램: 50,000원 x 4회</t>
  </si>
  <si>
    <t>*클레이교실: 50,000원 x 12회</t>
    <phoneticPr fontId="2" type="noConversion"/>
  </si>
  <si>
    <t>*뷰티교실: 50,000원 x 4회</t>
    <phoneticPr fontId="2" type="noConversion"/>
  </si>
  <si>
    <t>*미술교실: 50,000원 x 12회</t>
    <phoneticPr fontId="2" type="noConversion"/>
  </si>
  <si>
    <t>*생신잔치: 40,000원 x 12회</t>
    <phoneticPr fontId="2" type="noConversion"/>
  </si>
  <si>
    <t>*홍보출판비: 1,000,000원 x 4회</t>
    <phoneticPr fontId="2" type="noConversion"/>
  </si>
  <si>
    <t>*간호조무사(연봉제): 2,065,000원 x 12월 x 1명</t>
    <phoneticPr fontId="2" type="noConversion"/>
  </si>
  <si>
    <t>*조리사(연봉제):1,570,000원 x 12월 x 1명</t>
    <phoneticPr fontId="2" type="noConversion"/>
  </si>
  <si>
    <t>*과학교실: 25,000원 x 4회</t>
    <phoneticPr fontId="2" type="noConversion"/>
  </si>
  <si>
    <t>*원예교실: 75,000원 x 12회</t>
    <phoneticPr fontId="2" type="noConversion"/>
  </si>
  <si>
    <t>*다도교실: 60,000원  x 12회</t>
    <phoneticPr fontId="2" type="noConversion"/>
  </si>
  <si>
    <t>*생신선물 구입: 300,000 x 1회</t>
    <phoneticPr fontId="2" type="noConversion"/>
  </si>
  <si>
    <t>*설,추석행사: 7,000 x 40명 x 2회</t>
    <phoneticPr fontId="2" type="noConversion"/>
  </si>
  <si>
    <t>*정월대보름: 100,000원 x 1회</t>
    <phoneticPr fontId="2" type="noConversion"/>
  </si>
  <si>
    <t>*복날행사: 200,000원 x1 회</t>
    <phoneticPr fontId="2" type="noConversion"/>
  </si>
  <si>
    <t>*동지행사: 100,000원 x 1회</t>
    <phoneticPr fontId="2" type="noConversion"/>
  </si>
  <si>
    <t>*어버이날행사: 7,000원 x 40명 x 1회</t>
    <phoneticPr fontId="2" type="noConversion"/>
  </si>
  <si>
    <t>*시군구보조금(관리운영비): 5,500,000원 x 4분기</t>
    <phoneticPr fontId="2" type="noConversion"/>
  </si>
  <si>
    <t xml:space="preserve">시간외수당(월 5시간 x 7명 x 12월) </t>
    <phoneticPr fontId="2" type="noConversion"/>
  </si>
  <si>
    <t>시도보조금수입</t>
    <phoneticPr fontId="2" type="noConversion"/>
  </si>
  <si>
    <t>*나들이행사(봄/가을): 400,000원 x 2회</t>
    <phoneticPr fontId="2" type="noConversion"/>
  </si>
  <si>
    <t>*나들이행사(소규모): 150,000 x 4회</t>
    <phoneticPr fontId="2" type="noConversion"/>
  </si>
  <si>
    <t>*생계비: 2,400원 x 40명 x 248일</t>
    <phoneticPr fontId="2" type="noConversion"/>
  </si>
  <si>
    <t>*기타 교육 등: 30,000원 x 4회</t>
    <phoneticPr fontId="2" type="noConversion"/>
  </si>
  <si>
    <t>*기억학교 종사자 워크샵 참가비: 500,000원 x 1회</t>
    <phoneticPr fontId="2" type="noConversion"/>
  </si>
  <si>
    <t>*기타잡수입(사회복지실습 外): 150,000원 x 12회</t>
    <phoneticPr fontId="2" type="noConversion"/>
  </si>
  <si>
    <t>*회의비(직원회의, 운영위원회 등): 150,000원 x 4분기</t>
    <phoneticPr fontId="2" type="noConversion"/>
  </si>
  <si>
    <t>*여비: 100,000원 x 4회</t>
    <phoneticPr fontId="2" type="noConversion"/>
  </si>
  <si>
    <t>*차량보험료: 1,000,000원 x 3대</t>
    <phoneticPr fontId="2" type="noConversion"/>
  </si>
  <si>
    <t>*기타운영비: 55,000원 x 2회</t>
    <phoneticPr fontId="2" type="noConversion"/>
  </si>
  <si>
    <t>*비지정후원금 : 150,000원 * 6회</t>
    <phoneticPr fontId="2" type="noConversion"/>
  </si>
  <si>
    <t>사업비</t>
    <phoneticPr fontId="2" type="noConversion"/>
  </si>
  <si>
    <t>*프로그램 계획 수립에 따른 특별사업지원사업비 증액 조정</t>
    <phoneticPr fontId="2" type="noConversion"/>
  </si>
  <si>
    <t>*기관운영비: 210,000원 x 4분기</t>
    <phoneticPr fontId="2" type="noConversion"/>
  </si>
  <si>
    <t>*시설장(15호봉): 3,581,900원 x 1월 x 1명</t>
    <phoneticPr fontId="2" type="noConversion"/>
  </si>
  <si>
    <t>*시설장(16호봉): 3,655,700원 x 11월 x 1명</t>
    <phoneticPr fontId="2" type="noConversion"/>
  </si>
  <si>
    <t>*선임사회복지사1(9호봉): 2,770,100원 x 1월 x 1명</t>
    <phoneticPr fontId="2" type="noConversion"/>
  </si>
  <si>
    <t>*선임사회복지사1(10호봉): 2,861,500원 x 11월 x 1명</t>
    <phoneticPr fontId="2" type="noConversion"/>
  </si>
  <si>
    <t>*사회복지사2(8호봉): 2,505,300원 x 9월 x 1명</t>
    <phoneticPr fontId="2" type="noConversion"/>
  </si>
  <si>
    <t>*사회복지사2(9호봉): 2,595,000원 x 3월 x 1명</t>
    <phoneticPr fontId="2" type="noConversion"/>
  </si>
  <si>
    <t>*사회복지사3(3호봉): 2,151,100원 x 10월 x 1명</t>
    <phoneticPr fontId="2" type="noConversion"/>
  </si>
  <si>
    <t>*사회복지사3(4호봉): 2,206,900원 x 2월 x 1명</t>
    <phoneticPr fontId="2" type="noConversion"/>
  </si>
  <si>
    <t>*사회복지사5(5호봉): 2,265,300원 x 9월 x 1명</t>
    <phoneticPr fontId="2" type="noConversion"/>
  </si>
  <si>
    <t>*사회복지사5(6호봉): 2,323,300원 x 3월 x 1명</t>
    <phoneticPr fontId="2" type="noConversion"/>
  </si>
  <si>
    <t>*사무원(2호봉): 2,091,800원 x 8월 x 1명</t>
    <phoneticPr fontId="2" type="noConversion"/>
  </si>
  <si>
    <t>*사무원(3호봉): 2,127,100원 x 4월 x 1명</t>
    <phoneticPr fontId="2" type="noConversion"/>
  </si>
  <si>
    <t>가족수당 : 720,000원 x 4분기</t>
    <phoneticPr fontId="2" type="noConversion"/>
  </si>
  <si>
    <t>*가족수당 : 2,880,000원</t>
    <phoneticPr fontId="2" type="noConversion"/>
  </si>
  <si>
    <t>*명절상여금 : 23,587,580원</t>
    <phoneticPr fontId="2" type="noConversion"/>
  </si>
  <si>
    <t>*퇴직적립금: 291,367,130원 / 12회</t>
    <phoneticPr fontId="2" type="noConversion"/>
  </si>
  <si>
    <t>*국민연금: 291,367,130원 x 4.5%</t>
    <phoneticPr fontId="2" type="noConversion"/>
  </si>
  <si>
    <t>*건강보험: 291,367,130원 x 3.545%</t>
    <phoneticPr fontId="2" type="noConversion"/>
  </si>
  <si>
    <t>*장기요양보험: 10,328,965원 x 12.81%</t>
    <phoneticPr fontId="2" type="noConversion"/>
  </si>
  <si>
    <t>*고용보험: 248,167,130원 x 1.25%</t>
    <phoneticPr fontId="2" type="noConversion"/>
  </si>
  <si>
    <t>*산재보험: 248,167,130원 x 0.76%</t>
    <phoneticPr fontId="2" type="noConversion"/>
  </si>
  <si>
    <t>퇴직금  =급여+ ㅈㅔ수당</t>
    <phoneticPr fontId="2" type="noConversion"/>
  </si>
  <si>
    <t>장기요양은 건강보헙료</t>
    <phoneticPr fontId="2" type="noConversion"/>
  </si>
  <si>
    <t>고용 산재는 내급여 빼고</t>
    <phoneticPr fontId="2" type="noConversion"/>
  </si>
  <si>
    <t>2023년
최초예산
(A)</t>
    <phoneticPr fontId="2" type="noConversion"/>
  </si>
  <si>
    <t>2023년
1차 추경
(B)</t>
    <phoneticPr fontId="2" type="noConversion"/>
  </si>
  <si>
    <t>*보호자 자조모임(상,하반기): 500,000원 x 2회</t>
    <phoneticPr fontId="2" type="noConversion"/>
  </si>
  <si>
    <t>*자원봉사자 관리비: 200,000원 x 4회</t>
    <phoneticPr fontId="2" type="noConversion"/>
  </si>
  <si>
    <t>*전기,도시가스,상하수도 등: 500,000원 x 12월</t>
    <phoneticPr fontId="2" type="noConversion"/>
  </si>
  <si>
    <t>2023년 최초예산
(A)</t>
    <phoneticPr fontId="2" type="noConversion"/>
  </si>
  <si>
    <t>2023년 1차 추경
(B)</t>
    <phoneticPr fontId="2" type="noConversion"/>
  </si>
  <si>
    <t>2) 2023년 참좋은기억학교 1차 추경 세출 예산 내역</t>
    <phoneticPr fontId="2" type="noConversion"/>
  </si>
  <si>
    <t>1) 2023년 참좋은기억학교 1차 추경 세입 예산 내역</t>
    <phoneticPr fontId="2" type="noConversion"/>
  </si>
  <si>
    <t>1. 참좋은기억학교의 2023년 1차 추경세입,세출 예산은 다음과 같다.</t>
    <phoneticPr fontId="2" type="noConversion"/>
  </si>
  <si>
    <t>1차 추경 세입.세출 예산(안)</t>
    <phoneticPr fontId="2" type="noConversion"/>
  </si>
  <si>
    <t>2023. 02. 13.</t>
    <phoneticPr fontId="2" type="noConversion"/>
  </si>
  <si>
    <t>*사회복지사4(2호봉): 2,112,400원 x 2월 x 1명</t>
    <phoneticPr fontId="2" type="noConversion"/>
  </si>
  <si>
    <t>*사회복지사4(3호봉): 2,151,100원 x 10월 x 1명</t>
    <phoneticPr fontId="2" type="noConversion"/>
  </si>
  <si>
    <t>*전년도이월금(사업수입): 12,629,613원 x 1회</t>
    <phoneticPr fontId="2" type="noConversion"/>
  </si>
  <si>
    <t>*전년도이월금(후원금): 884,739원 x 1회</t>
    <phoneticPr fontId="2" type="noConversion"/>
  </si>
  <si>
    <t>*전년도이월금(잡수입): 350,011 x 1회</t>
    <phoneticPr fontId="2" type="noConversion"/>
  </si>
  <si>
    <t>명절상여금 : 11,892,460원 x 2회</t>
    <phoneticPr fontId="2" type="noConversion"/>
  </si>
  <si>
    <t>*시간외수당 : 6,972,150원</t>
    <phoneticPr fontId="2" type="noConversion"/>
  </si>
  <si>
    <t>*노래자랑행사: 150,000원 x 4회</t>
    <phoneticPr fontId="2" type="noConversion"/>
  </si>
  <si>
    <t>,</t>
    <phoneticPr fontId="2" type="noConversion"/>
  </si>
  <si>
    <t>*간호조무사 보수교육: 35,000원 x 1명</t>
    <phoneticPr fontId="2" type="noConversion"/>
  </si>
  <si>
    <t>*시군구보조금(인건비): 87,016,087원 x 4분기</t>
    <phoneticPr fontId="2" type="noConversion"/>
  </si>
  <si>
    <t>*종사자 임금 확정에 따른 증액 조정</t>
    <phoneticPr fontId="2" type="noConversion"/>
  </si>
  <si>
    <t>*이월금 확정에 따른 전년도이월금 증액 조정</t>
    <phoneticPr fontId="2" type="noConversion"/>
  </si>
  <si>
    <t>*종사자 임금 확정에 따른 퇴직금및퇴직적립금 증액 조정</t>
    <phoneticPr fontId="2" type="noConversion"/>
  </si>
  <si>
    <t>*예비비 감액 조정</t>
    <phoneticPr fontId="2" type="noConversion"/>
  </si>
  <si>
    <t>*요금 인상으로 인한 공공요금 증액 조정</t>
    <phoneticPr fontId="2" type="noConversion"/>
  </si>
  <si>
    <t>*프로그램 계획 수립에 따른 재활프로그램사업비 감액 조정</t>
    <phoneticPr fontId="2" type="noConversion"/>
  </si>
  <si>
    <t>봉사자 및 후원자 관리비</t>
    <phoneticPr fontId="2" type="noConversion"/>
  </si>
  <si>
    <t>자산취득비</t>
    <phoneticPr fontId="2" type="noConversion"/>
  </si>
  <si>
    <t>*종사자 임금 확정에 따른 급여 감액 조정</t>
    <phoneticPr fontId="2" type="noConversion"/>
  </si>
  <si>
    <t>*가족수당 변경에 따른 따른 제수당 증액 조정</t>
    <phoneticPr fontId="2" type="noConversion"/>
  </si>
  <si>
    <t>*종사자 임금 확정에 따른 사회보험부담금 증액 조정</t>
    <phoneticPr fontId="2" type="noConversion"/>
  </si>
  <si>
    <t>*물가 상승으로 인한 봉사자 및 후원자 관리비 증액 조정</t>
    <phoneticPr fontId="2" type="noConversion"/>
  </si>
  <si>
    <t>*렌탈비 목 변경에 따른 자산취득비 감액 조정</t>
    <phoneticPr fontId="2" type="noConversion"/>
  </si>
  <si>
    <t>*렌탈비 목 변경에 따른 수용비 및 수수료 증액 조정</t>
    <phoneticPr fontId="2" type="noConversion"/>
  </si>
  <si>
    <t>사업비</t>
    <phoneticPr fontId="2" type="noConversion"/>
  </si>
  <si>
    <t>상담사업비</t>
    <phoneticPr fontId="2" type="noConversion"/>
  </si>
  <si>
    <t>*보호자 대면자조모임 실시에 따른 상담사업비 증액 조정</t>
    <phoneticPr fontId="2" type="noConversion"/>
  </si>
  <si>
    <t>2023년
1차추경(B)</t>
    <phoneticPr fontId="2" type="noConversion"/>
  </si>
  <si>
    <t>2023년 참좋은기억학교 1차 추경 예산 증감사항 및 주요내용</t>
    <phoneticPr fontId="2" type="noConversion"/>
  </si>
  <si>
    <t>2023년 참좋은기억학교 1차 추경 예산 총괄내역서</t>
    <phoneticPr fontId="2" type="noConversion"/>
  </si>
  <si>
    <t>*기타 시설장비유지비 : 500,000원 x 1회</t>
    <phoneticPr fontId="2" type="noConversion"/>
  </si>
  <si>
    <t>*시설장비 노후화 대비를 위한 시설장비유지비 증액 조정</t>
    <phoneticPr fontId="2" type="noConversion"/>
  </si>
  <si>
    <t>*반환금(보조금예금이자수입): 20,000원 x 1회</t>
    <phoneticPr fontId="2" type="noConversion"/>
  </si>
  <si>
    <t>*예비비: 135,456원 x 1회</t>
    <phoneticPr fontId="2" type="noConversion"/>
  </si>
  <si>
    <r>
      <t xml:space="preserve">2. 세입.세출 예산 총액은 </t>
    </r>
    <r>
      <rPr>
        <b/>
        <u/>
        <sz val="12"/>
        <rFont val="굴림"/>
        <family val="3"/>
        <charset val="129"/>
      </rPr>
      <t>440,000,000원</t>
    </r>
    <r>
      <rPr>
        <sz val="12"/>
        <rFont val="굴림"/>
        <family val="3"/>
        <charset val="129"/>
      </rPr>
      <t>으로한다.</t>
    </r>
    <phoneticPr fontId="2" type="noConversion"/>
  </si>
  <si>
    <t>2023년
최초예산(A)</t>
    <phoneticPr fontId="2" type="noConversion"/>
  </si>
  <si>
    <t>*전입금 감액 조정</t>
    <phoneticPr fontId="2" type="noConversion"/>
  </si>
  <si>
    <t>*잡수입(직원식대): 500,000원 x 12월</t>
    <phoneticPr fontId="2" type="noConversion"/>
  </si>
  <si>
    <t>*실비수입(일1만원): 10,000원 x 19명 x 248일</t>
    <phoneticPr fontId="2" type="noConversion"/>
  </si>
  <si>
    <t>*기타잡수입: 221,189원 x 1회</t>
    <phoneticPr fontId="2" type="noConversion"/>
  </si>
  <si>
    <t>*종사자 식대비 증액으로 인한 기타잡수입 증액 조정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</si>
</sst>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sz val="2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25"/>
      <name val="굴림"/>
      <family val="3"/>
      <charset val="129"/>
    </font>
    <font>
      <sz val="12"/>
      <name val="굴림"/>
      <family val="3"/>
      <charset val="129"/>
    </font>
    <font>
      <b/>
      <u/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b/>
      <sz val="12"/>
      <name val="굴림"/>
      <family val="3"/>
      <charset val="129"/>
    </font>
    <font>
      <sz val="12"/>
      <name val="돋움"/>
      <family val="3"/>
      <charset val="129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28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>
      <alignment vertical="center"/>
    </xf>
    <xf numFmtId="41" fontId="2" fillId="0" borderId="0" xfId="2" applyNumberFormat="1" applyFont="1">
      <alignment vertical="center"/>
    </xf>
    <xf numFmtId="0" fontId="2" fillId="0" borderId="0" xfId="2" applyFont="1">
      <alignment vertical="center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10" xfId="0" applyNumberFormat="1" applyFont="1" applyBorder="1">
      <alignment vertical="center"/>
    </xf>
    <xf numFmtId="3" fontId="11" fillId="0" borderId="11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3" fontId="12" fillId="0" borderId="14" xfId="0" applyNumberFormat="1" applyFont="1" applyBorder="1">
      <alignment vertical="center"/>
    </xf>
    <xf numFmtId="3" fontId="12" fillId="0" borderId="15" xfId="0" applyNumberFormat="1" applyFont="1" applyBorder="1" applyAlignment="1">
      <alignment horizontal="righ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3" fontId="12" fillId="0" borderId="21" xfId="0" applyNumberFormat="1" applyFont="1" applyBorder="1">
      <alignment vertical="center"/>
    </xf>
    <xf numFmtId="3" fontId="12" fillId="0" borderId="22" xfId="0" applyNumberFormat="1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3" fontId="12" fillId="0" borderId="25" xfId="0" applyNumberFormat="1" applyFont="1" applyBorder="1">
      <alignment vertical="center"/>
    </xf>
    <xf numFmtId="3" fontId="12" fillId="0" borderId="26" xfId="0" applyNumberFormat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1" fillId="0" borderId="11" xfId="0" applyNumberFormat="1" applyFont="1" applyBorder="1">
      <alignment vertical="center"/>
    </xf>
    <xf numFmtId="0" fontId="12" fillId="0" borderId="28" xfId="0" applyFont="1" applyBorder="1" applyAlignment="1">
      <alignment horizontal="center" vertical="center"/>
    </xf>
    <xf numFmtId="3" fontId="12" fillId="0" borderId="29" xfId="0" applyNumberFormat="1" applyFont="1" applyBorder="1">
      <alignment vertical="center"/>
    </xf>
    <xf numFmtId="3" fontId="12" fillId="0" borderId="20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12" fillId="0" borderId="26" xfId="0" applyNumberFormat="1" applyFont="1" applyBorder="1">
      <alignment vertical="center"/>
    </xf>
    <xf numFmtId="0" fontId="3" fillId="0" borderId="0" xfId="0" applyFont="1">
      <alignment vertical="center"/>
    </xf>
    <xf numFmtId="0" fontId="12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3" fontId="12" fillId="0" borderId="30" xfId="0" applyNumberFormat="1" applyFont="1" applyBorder="1">
      <alignment vertical="center"/>
    </xf>
    <xf numFmtId="3" fontId="12" fillId="0" borderId="15" xfId="0" applyNumberFormat="1" applyFont="1" applyBorder="1">
      <alignment vertical="center"/>
    </xf>
    <xf numFmtId="0" fontId="3" fillId="0" borderId="0" xfId="2" applyFont="1">
      <alignment vertical="center"/>
    </xf>
    <xf numFmtId="0" fontId="12" fillId="0" borderId="0" xfId="2" applyFont="1" applyAlignment="1">
      <alignment horizontal="left" vertical="center"/>
    </xf>
    <xf numFmtId="3" fontId="12" fillId="0" borderId="38" xfId="2" applyNumberFormat="1" applyFont="1" applyBorder="1">
      <alignment vertical="center"/>
    </xf>
    <xf numFmtId="0" fontId="12" fillId="0" borderId="38" xfId="2" applyFont="1" applyBorder="1">
      <alignment vertical="center"/>
    </xf>
    <xf numFmtId="0" fontId="12" fillId="0" borderId="37" xfId="2" applyFont="1" applyBorder="1">
      <alignment vertical="center"/>
    </xf>
    <xf numFmtId="0" fontId="12" fillId="0" borderId="0" xfId="2" applyFont="1">
      <alignment vertical="center"/>
    </xf>
    <xf numFmtId="3" fontId="12" fillId="0" borderId="0" xfId="2" applyNumberFormat="1" applyFont="1" applyAlignment="1">
      <alignment horizontal="right" vertical="center"/>
    </xf>
    <xf numFmtId="3" fontId="12" fillId="0" borderId="0" xfId="2" applyNumberFormat="1" applyFont="1">
      <alignment vertical="center"/>
    </xf>
    <xf numFmtId="0" fontId="12" fillId="0" borderId="38" xfId="2" applyFont="1" applyBorder="1" applyAlignment="1">
      <alignment horizontal="left" vertical="center" shrinkToFit="1"/>
    </xf>
    <xf numFmtId="3" fontId="11" fillId="0" borderId="29" xfId="2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 wrapText="1" shrinkToFit="1"/>
    </xf>
    <xf numFmtId="0" fontId="12" fillId="0" borderId="0" xfId="2" applyFont="1" applyAlignment="1">
      <alignment horizontal="left" vertical="center" shrinkToFit="1"/>
    </xf>
    <xf numFmtId="3" fontId="12" fillId="0" borderId="0" xfId="2" quotePrefix="1" applyNumberFormat="1" applyFont="1" applyAlignment="1">
      <alignment horizontal="right" vertical="center"/>
    </xf>
    <xf numFmtId="0" fontId="12" fillId="0" borderId="37" xfId="2" applyFont="1" applyBorder="1" applyAlignment="1">
      <alignment horizontal="left" vertical="center" shrinkToFit="1"/>
    </xf>
    <xf numFmtId="3" fontId="3" fillId="0" borderId="0" xfId="0" applyNumberFormat="1" applyFont="1">
      <alignment vertical="center"/>
    </xf>
    <xf numFmtId="0" fontId="15" fillId="0" borderId="0" xfId="0" applyFont="1" applyAlignment="1">
      <alignment vertical="center" shrinkToFit="1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29" xfId="2" applyFont="1" applyBorder="1">
      <alignment vertical="center"/>
    </xf>
    <xf numFmtId="0" fontId="12" fillId="0" borderId="47" xfId="2" applyFont="1" applyBorder="1">
      <alignment vertical="center"/>
    </xf>
    <xf numFmtId="0" fontId="12" fillId="0" borderId="42" xfId="2" applyFont="1" applyBorder="1" applyAlignment="1">
      <alignment horizontal="left" vertical="center"/>
    </xf>
    <xf numFmtId="3" fontId="12" fillId="0" borderId="42" xfId="2" applyNumberFormat="1" applyFont="1" applyBorder="1" applyAlignment="1">
      <alignment horizontal="right" vertical="center"/>
    </xf>
    <xf numFmtId="3" fontId="12" fillId="0" borderId="42" xfId="2" applyNumberFormat="1" applyFont="1" applyBorder="1">
      <alignment vertical="center"/>
    </xf>
    <xf numFmtId="3" fontId="3" fillId="0" borderId="0" xfId="2" applyNumberFormat="1" applyFont="1">
      <alignment vertical="center"/>
    </xf>
    <xf numFmtId="41" fontId="12" fillId="0" borderId="0" xfId="1" applyFont="1">
      <alignment vertical="center"/>
    </xf>
    <xf numFmtId="3" fontId="11" fillId="0" borderId="10" xfId="1" applyNumberFormat="1" applyFont="1" applyBorder="1" applyAlignment="1">
      <alignment horizontal="right" vertical="center"/>
    </xf>
    <xf numFmtId="0" fontId="12" fillId="0" borderId="63" xfId="2" applyFont="1" applyBorder="1" applyAlignment="1">
      <alignment horizontal="center" vertical="center"/>
    </xf>
    <xf numFmtId="3" fontId="12" fillId="0" borderId="63" xfId="2" applyNumberFormat="1" applyFont="1" applyBorder="1" applyAlignment="1">
      <alignment horizontal="center" vertical="center" wrapText="1"/>
    </xf>
    <xf numFmtId="41" fontId="3" fillId="0" borderId="0" xfId="1" applyFont="1">
      <alignment vertical="center"/>
    </xf>
    <xf numFmtId="0" fontId="13" fillId="0" borderId="0" xfId="2" applyFont="1" applyAlignment="1">
      <alignment horizontal="center" vertical="center"/>
    </xf>
    <xf numFmtId="3" fontId="13" fillId="0" borderId="0" xfId="2" applyNumberFormat="1" applyFont="1" applyAlignment="1">
      <alignment horizontal="center" vertical="center"/>
    </xf>
    <xf numFmtId="41" fontId="13" fillId="0" borderId="0" xfId="1" applyFont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41" fontId="12" fillId="0" borderId="20" xfId="1" applyFont="1" applyBorder="1">
      <alignment vertical="center"/>
    </xf>
    <xf numFmtId="41" fontId="6" fillId="0" borderId="66" xfId="0" applyNumberFormat="1" applyFont="1" applyBorder="1">
      <alignment vertical="center"/>
    </xf>
    <xf numFmtId="3" fontId="13" fillId="0" borderId="57" xfId="2" applyNumberFormat="1" applyFont="1" applyBorder="1" applyAlignment="1">
      <alignment horizontal="center" vertical="center"/>
    </xf>
    <xf numFmtId="3" fontId="12" fillId="0" borderId="60" xfId="2" applyNumberFormat="1" applyFont="1" applyBorder="1" applyAlignment="1">
      <alignment horizontal="right" vertical="center"/>
    </xf>
    <xf numFmtId="0" fontId="12" fillId="0" borderId="68" xfId="2" applyFont="1" applyBorder="1" applyAlignment="1">
      <alignment horizontal="center" vertical="center"/>
    </xf>
    <xf numFmtId="3" fontId="12" fillId="0" borderId="69" xfId="2" applyNumberFormat="1" applyFont="1" applyBorder="1" applyAlignment="1">
      <alignment horizontal="center" vertical="center"/>
    </xf>
    <xf numFmtId="3" fontId="11" fillId="0" borderId="52" xfId="2" applyNumberFormat="1" applyFont="1" applyBorder="1" applyAlignment="1">
      <alignment horizontal="right" vertical="center"/>
    </xf>
    <xf numFmtId="0" fontId="12" fillId="0" borderId="12" xfId="2" applyFont="1" applyBorder="1" applyAlignment="1">
      <alignment vertical="center" shrinkToFit="1"/>
    </xf>
    <xf numFmtId="3" fontId="12" fillId="0" borderId="52" xfId="2" applyNumberFormat="1" applyFont="1" applyBorder="1" applyAlignment="1">
      <alignment horizontal="right" vertical="center"/>
    </xf>
    <xf numFmtId="0" fontId="12" fillId="0" borderId="17" xfId="2" applyFont="1" applyBorder="1" applyAlignment="1">
      <alignment vertical="center" shrinkToFit="1"/>
    </xf>
    <xf numFmtId="3" fontId="12" fillId="0" borderId="53" xfId="2" applyNumberFormat="1" applyFont="1" applyBorder="1" applyAlignment="1">
      <alignment horizontal="right" vertical="center"/>
    </xf>
    <xf numFmtId="0" fontId="12" fillId="0" borderId="64" xfId="2" applyFont="1" applyBorder="1" applyAlignment="1">
      <alignment vertical="center" shrinkToFit="1"/>
    </xf>
    <xf numFmtId="0" fontId="12" fillId="0" borderId="45" xfId="2" applyFont="1" applyBorder="1">
      <alignment vertical="center"/>
    </xf>
    <xf numFmtId="3" fontId="12" fillId="0" borderId="57" xfId="2" applyNumberFormat="1" applyFont="1" applyBorder="1" applyAlignment="1">
      <alignment horizontal="right" vertical="center"/>
    </xf>
    <xf numFmtId="0" fontId="12" fillId="0" borderId="12" xfId="2" applyFont="1" applyBorder="1">
      <alignment vertical="center"/>
    </xf>
    <xf numFmtId="3" fontId="12" fillId="0" borderId="15" xfId="2" applyNumberFormat="1" applyFont="1" applyBorder="1" applyAlignment="1">
      <alignment horizontal="right" vertical="center"/>
    </xf>
    <xf numFmtId="0" fontId="12" fillId="0" borderId="16" xfId="2" applyFont="1" applyBorder="1">
      <alignment vertical="center"/>
    </xf>
    <xf numFmtId="3" fontId="12" fillId="0" borderId="30" xfId="2" applyNumberFormat="1" applyFont="1" applyBorder="1" applyAlignment="1">
      <alignment horizontal="right" vertical="center"/>
    </xf>
    <xf numFmtId="3" fontId="12" fillId="0" borderId="55" xfId="2" quotePrefix="1" applyNumberFormat="1" applyFont="1" applyBorder="1" applyAlignment="1">
      <alignment horizontal="right" vertical="center"/>
    </xf>
    <xf numFmtId="3" fontId="0" fillId="0" borderId="0" xfId="0" applyNumberFormat="1">
      <alignment vertical="center"/>
    </xf>
    <xf numFmtId="43" fontId="3" fillId="0" borderId="0" xfId="1" applyNumberFormat="1" applyFont="1">
      <alignment vertical="center"/>
    </xf>
    <xf numFmtId="0" fontId="12" fillId="0" borderId="12" xfId="0" applyFont="1" applyBorder="1" applyAlignment="1">
      <alignment horizontal="left" vertical="center"/>
    </xf>
    <xf numFmtId="3" fontId="12" fillId="0" borderId="14" xfId="2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vertical="center"/>
    </xf>
    <xf numFmtId="3" fontId="12" fillId="0" borderId="53" xfId="2" quotePrefix="1" applyNumberFormat="1" applyFont="1" applyBorder="1" applyAlignment="1">
      <alignment horizontal="right" vertical="center"/>
    </xf>
    <xf numFmtId="3" fontId="12" fillId="0" borderId="35" xfId="2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>
      <alignment vertical="center"/>
    </xf>
    <xf numFmtId="3" fontId="15" fillId="0" borderId="0" xfId="0" applyNumberFormat="1" applyFont="1" applyAlignment="1">
      <alignment horizontal="right" vertical="center"/>
    </xf>
    <xf numFmtId="41" fontId="15" fillId="0" borderId="0" xfId="0" applyNumberFormat="1" applyFont="1" applyAlignment="1">
      <alignment horizontal="right" vertical="center"/>
    </xf>
    <xf numFmtId="41" fontId="15" fillId="0" borderId="0" xfId="1" applyFont="1">
      <alignment vertical="center"/>
    </xf>
    <xf numFmtId="41" fontId="15" fillId="0" borderId="0" xfId="0" applyNumberFormat="1" applyFo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3" fontId="19" fillId="0" borderId="32" xfId="0" applyNumberFormat="1" applyFont="1" applyBorder="1" applyAlignment="1">
      <alignment horizontal="center" vertical="center"/>
    </xf>
    <xf numFmtId="41" fontId="19" fillId="0" borderId="32" xfId="0" applyNumberFormat="1" applyFont="1" applyBorder="1" applyAlignment="1">
      <alignment horizontal="center" vertical="center"/>
    </xf>
    <xf numFmtId="3" fontId="19" fillId="0" borderId="10" xfId="1" applyNumberFormat="1" applyFont="1" applyBorder="1" applyAlignment="1">
      <alignment horizontal="right" vertical="center"/>
    </xf>
    <xf numFmtId="3" fontId="19" fillId="0" borderId="10" xfId="1" applyNumberFormat="1" applyFont="1" applyFill="1" applyBorder="1" applyAlignment="1">
      <alignment horizontal="right" vertical="center"/>
    </xf>
    <xf numFmtId="43" fontId="21" fillId="0" borderId="39" xfId="7" applyNumberFormat="1" applyFont="1" applyFill="1" applyBorder="1" applyAlignment="1">
      <alignment horizontal="right" vertical="center"/>
    </xf>
    <xf numFmtId="3" fontId="15" fillId="0" borderId="39" xfId="0" applyNumberFormat="1" applyFont="1" applyBorder="1" applyAlignment="1">
      <alignment vertical="center" wrapText="1"/>
    </xf>
    <xf numFmtId="41" fontId="15" fillId="0" borderId="57" xfId="1" applyFont="1" applyBorder="1">
      <alignment vertical="center"/>
    </xf>
    <xf numFmtId="0" fontId="15" fillId="0" borderId="61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3" fontId="19" fillId="0" borderId="20" xfId="1" applyNumberFormat="1" applyFont="1" applyBorder="1" applyAlignment="1">
      <alignment horizontal="right" vertical="center"/>
    </xf>
    <xf numFmtId="3" fontId="19" fillId="0" borderId="20" xfId="1" applyNumberFormat="1" applyFont="1" applyFill="1" applyBorder="1" applyAlignment="1">
      <alignment horizontal="right" vertical="center"/>
    </xf>
    <xf numFmtId="3" fontId="15" fillId="0" borderId="14" xfId="0" applyNumberFormat="1" applyFont="1" applyBorder="1" applyAlignment="1">
      <alignment vertical="center" wrapText="1"/>
    </xf>
    <xf numFmtId="41" fontId="15" fillId="0" borderId="53" xfId="1" applyFont="1" applyBorder="1">
      <alignment vertical="center"/>
    </xf>
    <xf numFmtId="43" fontId="15" fillId="0" borderId="0" xfId="0" applyNumberFormat="1" applyFont="1">
      <alignment vertical="center"/>
    </xf>
    <xf numFmtId="0" fontId="15" fillId="0" borderId="45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/>
    </xf>
    <xf numFmtId="3" fontId="15" fillId="0" borderId="20" xfId="1" applyNumberFormat="1" applyFont="1" applyFill="1" applyBorder="1" applyAlignment="1">
      <alignment horizontal="right" vertical="center"/>
    </xf>
    <xf numFmtId="43" fontId="22" fillId="0" borderId="39" xfId="7" applyNumberFormat="1" applyFont="1" applyFill="1" applyBorder="1" applyAlignment="1">
      <alignment horizontal="right" vertical="center"/>
    </xf>
    <xf numFmtId="0" fontId="15" fillId="0" borderId="14" xfId="0" applyFont="1" applyBorder="1" applyAlignment="1">
      <alignment vertical="center" wrapText="1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3" fontId="15" fillId="0" borderId="38" xfId="1" applyNumberFormat="1" applyFont="1" applyBorder="1" applyAlignment="1">
      <alignment horizontal="right" vertical="center"/>
    </xf>
    <xf numFmtId="3" fontId="15" fillId="0" borderId="38" xfId="1" applyNumberFormat="1" applyFont="1" applyFill="1" applyBorder="1" applyAlignment="1">
      <alignment horizontal="right" vertical="center"/>
    </xf>
    <xf numFmtId="43" fontId="22" fillId="0" borderId="38" xfId="7" applyNumberFormat="1" applyFont="1" applyFill="1" applyBorder="1" applyAlignment="1">
      <alignment horizontal="right" vertical="center"/>
    </xf>
    <xf numFmtId="0" fontId="15" fillId="0" borderId="21" xfId="0" applyFont="1" applyBorder="1" applyAlignment="1">
      <alignment vertical="center" wrapText="1"/>
    </xf>
    <xf numFmtId="41" fontId="19" fillId="2" borderId="57" xfId="1" applyFont="1" applyFill="1" applyBorder="1">
      <alignment vertical="center"/>
    </xf>
    <xf numFmtId="3" fontId="15" fillId="0" borderId="37" xfId="1" applyNumberFormat="1" applyFont="1" applyBorder="1" applyAlignment="1">
      <alignment horizontal="right" vertical="center"/>
    </xf>
    <xf numFmtId="3" fontId="15" fillId="0" borderId="37" xfId="1" applyNumberFormat="1" applyFont="1" applyFill="1" applyBorder="1" applyAlignment="1">
      <alignment horizontal="right" vertical="center"/>
    </xf>
    <xf numFmtId="3" fontId="19" fillId="0" borderId="37" xfId="1" applyNumberFormat="1" applyFont="1" applyFill="1" applyBorder="1" applyAlignment="1">
      <alignment horizontal="right" vertical="center"/>
    </xf>
    <xf numFmtId="41" fontId="15" fillId="0" borderId="37" xfId="1" applyFont="1" applyBorder="1" applyAlignment="1">
      <alignment horizontal="right" vertical="center"/>
    </xf>
    <xf numFmtId="0" fontId="15" fillId="0" borderId="46" xfId="0" applyFont="1" applyBorder="1" applyAlignment="1">
      <alignment vertical="center" shrinkToFit="1"/>
    </xf>
    <xf numFmtId="3" fontId="15" fillId="0" borderId="37" xfId="0" applyNumberFormat="1" applyFont="1" applyBorder="1" applyAlignment="1">
      <alignment horizontal="left" vertical="center"/>
    </xf>
    <xf numFmtId="41" fontId="15" fillId="0" borderId="48" xfId="1" applyFont="1" applyBorder="1" applyAlignment="1">
      <alignment horizontal="right" vertical="center"/>
    </xf>
    <xf numFmtId="0" fontId="15" fillId="0" borderId="65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3" fontId="15" fillId="0" borderId="47" xfId="1" applyNumberFormat="1" applyFont="1" applyBorder="1" applyAlignment="1">
      <alignment horizontal="right" vertical="center"/>
    </xf>
    <xf numFmtId="3" fontId="15" fillId="0" borderId="47" xfId="1" applyNumberFormat="1" applyFont="1" applyFill="1" applyBorder="1" applyAlignment="1">
      <alignment horizontal="right" vertical="center"/>
    </xf>
    <xf numFmtId="3" fontId="19" fillId="0" borderId="47" xfId="1" applyNumberFormat="1" applyFont="1" applyFill="1" applyBorder="1" applyAlignment="1">
      <alignment horizontal="right" vertical="center"/>
    </xf>
    <xf numFmtId="41" fontId="15" fillId="0" borderId="47" xfId="1" applyFont="1" applyBorder="1" applyAlignment="1">
      <alignment horizontal="right" vertical="center"/>
    </xf>
    <xf numFmtId="0" fontId="15" fillId="0" borderId="41" xfId="0" applyFont="1" applyBorder="1" applyAlignment="1">
      <alignment vertical="center" shrinkToFit="1"/>
    </xf>
    <xf numFmtId="41" fontId="15" fillId="0" borderId="60" xfId="1" applyFont="1" applyBorder="1">
      <alignment vertical="center"/>
    </xf>
    <xf numFmtId="43" fontId="22" fillId="0" borderId="37" xfId="7" applyNumberFormat="1" applyFont="1" applyFill="1" applyBorder="1" applyAlignment="1">
      <alignment horizontal="right" vertical="center"/>
    </xf>
    <xf numFmtId="0" fontId="15" fillId="0" borderId="16" xfId="0" applyFont="1" applyBorder="1" applyAlignment="1">
      <alignment horizontal="left" vertical="center"/>
    </xf>
    <xf numFmtId="49" fontId="15" fillId="0" borderId="46" xfId="0" applyNumberFormat="1" applyFont="1" applyBorder="1" applyAlignment="1">
      <alignment vertical="center" shrinkToFit="1"/>
    </xf>
    <xf numFmtId="41" fontId="15" fillId="0" borderId="46" xfId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0" fontId="15" fillId="0" borderId="38" xfId="0" applyFont="1" applyBorder="1" applyAlignment="1">
      <alignment horizontal="left" vertical="center" shrinkToFit="1"/>
    </xf>
    <xf numFmtId="0" fontId="15" fillId="0" borderId="21" xfId="0" applyFont="1" applyBorder="1" applyAlignment="1">
      <alignment vertical="center" shrinkToFit="1"/>
    </xf>
    <xf numFmtId="41" fontId="15" fillId="0" borderId="55" xfId="1" applyFont="1" applyBorder="1">
      <alignment vertical="center"/>
    </xf>
    <xf numFmtId="41" fontId="15" fillId="0" borderId="29" xfId="1" applyFont="1" applyBorder="1" applyAlignment="1">
      <alignment horizontal="right" vertical="center"/>
    </xf>
    <xf numFmtId="41" fontId="15" fillId="0" borderId="52" xfId="1" applyFont="1" applyBorder="1">
      <alignment vertical="center"/>
    </xf>
    <xf numFmtId="0" fontId="15" fillId="0" borderId="46" xfId="0" applyFont="1" applyBorder="1" applyAlignment="1">
      <alignment vertical="center" wrapText="1" shrinkToFit="1"/>
    </xf>
    <xf numFmtId="0" fontId="15" fillId="0" borderId="46" xfId="0" applyFont="1" applyBorder="1" applyAlignment="1">
      <alignment horizontal="left" vertical="center"/>
    </xf>
    <xf numFmtId="3" fontId="15" fillId="0" borderId="46" xfId="1" applyNumberFormat="1" applyFont="1" applyBorder="1" applyAlignment="1">
      <alignment horizontal="right" vertical="center"/>
    </xf>
    <xf numFmtId="0" fontId="15" fillId="0" borderId="29" xfId="0" applyFont="1" applyBorder="1" applyAlignment="1">
      <alignment horizontal="left" vertical="center"/>
    </xf>
    <xf numFmtId="3" fontId="19" fillId="0" borderId="29" xfId="1" applyNumberFormat="1" applyFont="1" applyFill="1" applyBorder="1" applyAlignment="1">
      <alignment horizontal="right" vertical="center"/>
    </xf>
    <xf numFmtId="0" fontId="15" fillId="0" borderId="28" xfId="0" applyFont="1" applyBorder="1" applyAlignment="1">
      <alignment horizontal="left" vertical="center"/>
    </xf>
    <xf numFmtId="3" fontId="15" fillId="0" borderId="29" xfId="1" applyNumberFormat="1" applyFont="1" applyFill="1" applyBorder="1" applyAlignment="1">
      <alignment horizontal="right" vertical="center"/>
    </xf>
    <xf numFmtId="0" fontId="15" fillId="0" borderId="14" xfId="0" applyFont="1" applyBorder="1" applyAlignment="1">
      <alignment vertical="center" shrinkToFit="1"/>
    </xf>
    <xf numFmtId="0" fontId="15" fillId="0" borderId="36" xfId="0" applyFont="1" applyBorder="1" applyAlignment="1">
      <alignment horizontal="left" vertical="center"/>
    </xf>
    <xf numFmtId="43" fontId="22" fillId="0" borderId="46" xfId="7" applyNumberFormat="1" applyFont="1" applyFill="1" applyBorder="1" applyAlignment="1">
      <alignment horizontal="right" vertical="center"/>
    </xf>
    <xf numFmtId="0" fontId="15" fillId="0" borderId="39" xfId="0" applyFont="1" applyBorder="1" applyAlignment="1">
      <alignment vertical="center" shrinkToFit="1"/>
    </xf>
    <xf numFmtId="0" fontId="15" fillId="0" borderId="41" xfId="0" applyFont="1" applyBorder="1" applyAlignment="1">
      <alignment horizontal="left" vertical="center"/>
    </xf>
    <xf numFmtId="43" fontId="22" fillId="0" borderId="41" xfId="7" applyNumberFormat="1" applyFont="1" applyFill="1" applyBorder="1" applyAlignment="1">
      <alignment horizontal="right" vertical="center"/>
    </xf>
    <xf numFmtId="0" fontId="15" fillId="0" borderId="44" xfId="0" applyFont="1" applyBorder="1">
      <alignment vertical="center"/>
    </xf>
    <xf numFmtId="41" fontId="15" fillId="0" borderId="44" xfId="1" applyFont="1" applyBorder="1">
      <alignment vertical="center"/>
    </xf>
    <xf numFmtId="0" fontId="15" fillId="0" borderId="39" xfId="0" applyFont="1" applyBorder="1" applyAlignment="1">
      <alignment horizontal="left" vertical="center"/>
    </xf>
    <xf numFmtId="43" fontId="22" fillId="0" borderId="29" xfId="7" applyNumberFormat="1" applyFont="1" applyFill="1" applyBorder="1" applyAlignment="1">
      <alignment horizontal="right" vertical="center"/>
    </xf>
    <xf numFmtId="0" fontId="15" fillId="0" borderId="46" xfId="0" applyFont="1" applyBorder="1" applyAlignment="1">
      <alignment horizontal="left" vertical="center" shrinkToFit="1"/>
    </xf>
    <xf numFmtId="0" fontId="15" fillId="0" borderId="62" xfId="0" applyFont="1" applyBorder="1" applyAlignment="1">
      <alignment horizontal="left" vertical="center"/>
    </xf>
    <xf numFmtId="3" fontId="19" fillId="0" borderId="29" xfId="1" applyNumberFormat="1" applyFont="1" applyBorder="1" applyAlignment="1">
      <alignment horizontal="right" vertical="center"/>
    </xf>
    <xf numFmtId="41" fontId="19" fillId="0" borderId="52" xfId="1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3" fontId="15" fillId="0" borderId="21" xfId="0" applyNumberFormat="1" applyFont="1" applyBorder="1" applyAlignment="1">
      <alignment vertical="center" shrinkToFit="1"/>
    </xf>
    <xf numFmtId="3" fontId="15" fillId="0" borderId="57" xfId="0" applyNumberFormat="1" applyFont="1" applyBorder="1" applyAlignment="1">
      <alignment vertical="center" shrinkToFi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6" xfId="0" applyFont="1" applyBorder="1">
      <alignment vertical="center"/>
    </xf>
    <xf numFmtId="3" fontId="15" fillId="0" borderId="46" xfId="0" applyNumberFormat="1" applyFont="1" applyBorder="1" applyAlignment="1">
      <alignment vertical="center" shrinkToFit="1"/>
    </xf>
    <xf numFmtId="0" fontId="15" fillId="0" borderId="29" xfId="0" applyFont="1" applyBorder="1" applyAlignment="1">
      <alignment horizontal="center" vertical="center"/>
    </xf>
    <xf numFmtId="43" fontId="22" fillId="0" borderId="20" xfId="7" applyNumberFormat="1" applyFont="1" applyFill="1" applyBorder="1" applyAlignment="1">
      <alignment horizontal="right" vertical="center"/>
    </xf>
    <xf numFmtId="0" fontId="15" fillId="0" borderId="46" xfId="0" applyFont="1" applyBorder="1" applyAlignment="1">
      <alignment vertical="center" wrapText="1"/>
    </xf>
    <xf numFmtId="3" fontId="15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Fill="1" applyBorder="1" applyAlignment="1">
      <alignment horizontal="right" vertical="center"/>
    </xf>
    <xf numFmtId="0" fontId="15" fillId="0" borderId="40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3" fontId="15" fillId="0" borderId="39" xfId="0" applyNumberFormat="1" applyFont="1" applyBorder="1" applyAlignment="1">
      <alignment vertical="center" shrinkToFit="1"/>
    </xf>
    <xf numFmtId="0" fontId="15" fillId="0" borderId="6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3" fontId="23" fillId="0" borderId="32" xfId="0" applyNumberFormat="1" applyFont="1" applyBorder="1" applyAlignment="1">
      <alignment horizontal="center" vertical="center"/>
    </xf>
    <xf numFmtId="41" fontId="23" fillId="0" borderId="32" xfId="0" applyNumberFormat="1" applyFont="1" applyBorder="1" applyAlignment="1">
      <alignment horizontal="center" vertical="center"/>
    </xf>
    <xf numFmtId="3" fontId="23" fillId="0" borderId="10" xfId="1" applyNumberFormat="1" applyFont="1" applyBorder="1" applyAlignment="1">
      <alignment horizontal="right" vertical="center"/>
    </xf>
    <xf numFmtId="3" fontId="23" fillId="0" borderId="29" xfId="1" applyNumberFormat="1" applyFont="1" applyBorder="1" applyAlignment="1">
      <alignment vertical="center"/>
    </xf>
    <xf numFmtId="43" fontId="24" fillId="0" borderId="39" xfId="7" applyNumberFormat="1" applyFont="1" applyFill="1" applyBorder="1" applyAlignment="1">
      <alignment horizontal="right" vertical="center"/>
    </xf>
    <xf numFmtId="0" fontId="3" fillId="0" borderId="39" xfId="0" applyFont="1" applyBorder="1" applyAlignment="1">
      <alignment vertical="center" shrinkToFit="1"/>
    </xf>
    <xf numFmtId="41" fontId="3" fillId="0" borderId="71" xfId="1" applyFont="1" applyBorder="1">
      <alignment vertical="center"/>
    </xf>
    <xf numFmtId="0" fontId="3" fillId="0" borderId="6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3" fontId="23" fillId="0" borderId="20" xfId="1" applyNumberFormat="1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41" fontId="3" fillId="0" borderId="53" xfId="1" applyFont="1" applyBorder="1">
      <alignment vertical="center"/>
    </xf>
    <xf numFmtId="0" fontId="3" fillId="0" borderId="14" xfId="0" applyFont="1" applyBorder="1" applyAlignment="1">
      <alignment horizontal="left" vertical="center"/>
    </xf>
    <xf numFmtId="3" fontId="3" fillId="0" borderId="20" xfId="1" applyNumberFormat="1" applyFont="1" applyBorder="1" applyAlignment="1">
      <alignment vertical="center"/>
    </xf>
    <xf numFmtId="3" fontId="3" fillId="0" borderId="29" xfId="1" applyNumberFormat="1" applyFont="1" applyBorder="1" applyAlignment="1">
      <alignment vertical="center"/>
    </xf>
    <xf numFmtId="43" fontId="25" fillId="0" borderId="39" xfId="7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3" fontId="3" fillId="0" borderId="38" xfId="0" applyNumberFormat="1" applyFont="1" applyBorder="1">
      <alignment vertical="center"/>
    </xf>
    <xf numFmtId="3" fontId="3" fillId="0" borderId="38" xfId="1" applyNumberFormat="1" applyFont="1" applyBorder="1" applyAlignment="1">
      <alignment vertical="center"/>
    </xf>
    <xf numFmtId="43" fontId="25" fillId="0" borderId="36" xfId="7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vertical="center" shrinkToFit="1"/>
    </xf>
    <xf numFmtId="41" fontId="3" fillId="0" borderId="55" xfId="1" applyFont="1" applyBorder="1">
      <alignment vertical="center"/>
    </xf>
    <xf numFmtId="0" fontId="3" fillId="0" borderId="37" xfId="0" applyFont="1" applyBorder="1" applyAlignment="1">
      <alignment horizontal="left" vertical="center"/>
    </xf>
    <xf numFmtId="3" fontId="3" fillId="0" borderId="37" xfId="0" applyNumberFormat="1" applyFont="1" applyBorder="1">
      <alignment vertical="center"/>
    </xf>
    <xf numFmtId="3" fontId="3" fillId="0" borderId="37" xfId="1" applyNumberFormat="1" applyFont="1" applyBorder="1" applyAlignment="1">
      <alignment vertical="center"/>
    </xf>
    <xf numFmtId="43" fontId="25" fillId="0" borderId="48" xfId="7" applyNumberFormat="1" applyFont="1" applyFill="1" applyBorder="1" applyAlignment="1">
      <alignment horizontal="right" vertical="center"/>
    </xf>
    <xf numFmtId="0" fontId="3" fillId="0" borderId="46" xfId="0" applyFont="1" applyBorder="1" applyAlignment="1">
      <alignment vertical="center" shrinkToFit="1"/>
    </xf>
    <xf numFmtId="41" fontId="3" fillId="0" borderId="57" xfId="1" applyFont="1" applyBorder="1">
      <alignment vertical="center"/>
    </xf>
    <xf numFmtId="3" fontId="23" fillId="0" borderId="20" xfId="0" applyNumberFormat="1" applyFont="1" applyBorder="1">
      <alignment vertical="center"/>
    </xf>
    <xf numFmtId="43" fontId="25" fillId="0" borderId="20" xfId="7" applyNumberFormat="1" applyFont="1" applyFill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3" fontId="3" fillId="0" borderId="20" xfId="0" applyNumberFormat="1" applyFont="1" applyBorder="1">
      <alignment vertical="center"/>
    </xf>
    <xf numFmtId="43" fontId="25" fillId="0" borderId="46" xfId="7" applyNumberFormat="1" applyFont="1" applyFill="1" applyBorder="1" applyAlignment="1">
      <alignment horizontal="right" vertical="center"/>
    </xf>
    <xf numFmtId="43" fontId="25" fillId="0" borderId="37" xfId="7" applyNumberFormat="1" applyFont="1" applyFill="1" applyBorder="1" applyAlignment="1">
      <alignment horizontal="right" vertical="center"/>
    </xf>
    <xf numFmtId="3" fontId="3" fillId="0" borderId="29" xfId="0" applyNumberFormat="1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43" fontId="25" fillId="0" borderId="29" xfId="7" applyNumberFormat="1" applyFont="1" applyFill="1" applyBorder="1" applyAlignment="1">
      <alignment horizontal="right" vertical="center"/>
    </xf>
    <xf numFmtId="41" fontId="3" fillId="0" borderId="52" xfId="1" applyFont="1" applyBorder="1">
      <alignment vertical="center"/>
    </xf>
    <xf numFmtId="43" fontId="25" fillId="0" borderId="38" xfId="7" applyNumberFormat="1" applyFont="1" applyFill="1" applyBorder="1" applyAlignment="1">
      <alignment horizontal="right" vertical="center"/>
    </xf>
    <xf numFmtId="0" fontId="3" fillId="0" borderId="47" xfId="0" applyFont="1" applyBorder="1" applyAlignment="1">
      <alignment horizontal="left" vertical="center"/>
    </xf>
    <xf numFmtId="3" fontId="3" fillId="0" borderId="47" xfId="1" applyNumberFormat="1" applyFont="1" applyBorder="1" applyAlignment="1">
      <alignment vertical="center"/>
    </xf>
    <xf numFmtId="41" fontId="3" fillId="0" borderId="60" xfId="1" applyFont="1" applyBorder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43" fontId="24" fillId="0" borderId="14" xfId="7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65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43" fontId="25" fillId="0" borderId="47" xfId="7" applyNumberFormat="1" applyFont="1" applyFill="1" applyBorder="1" applyAlignment="1">
      <alignment horizontal="right" vertical="center"/>
    </xf>
    <xf numFmtId="0" fontId="3" fillId="0" borderId="42" xfId="0" applyFont="1" applyBorder="1" applyAlignment="1">
      <alignment vertical="center" wrapText="1" shrinkToFit="1"/>
    </xf>
    <xf numFmtId="0" fontId="6" fillId="0" borderId="37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 shrinkToFit="1"/>
    </xf>
    <xf numFmtId="0" fontId="15" fillId="0" borderId="0" xfId="0" applyNumberFormat="1" applyFont="1">
      <alignment vertical="center"/>
    </xf>
    <xf numFmtId="41" fontId="12" fillId="0" borderId="38" xfId="1" applyFont="1" applyBorder="1" applyAlignment="1">
      <alignment horizontal="left" vertical="center"/>
    </xf>
    <xf numFmtId="3" fontId="12" fillId="0" borderId="15" xfId="2" quotePrefix="1" applyNumberFormat="1" applyFont="1" applyBorder="1" applyAlignment="1">
      <alignment horizontal="right" vertical="center"/>
    </xf>
    <xf numFmtId="3" fontId="12" fillId="0" borderId="13" xfId="2" applyNumberFormat="1" applyFont="1" applyBorder="1" applyAlignment="1">
      <alignment horizontal="right" vertical="center"/>
    </xf>
    <xf numFmtId="3" fontId="12" fillId="0" borderId="20" xfId="2" applyNumberFormat="1" applyFont="1" applyBorder="1" applyAlignment="1">
      <alignment horizontal="right" vertical="center"/>
    </xf>
    <xf numFmtId="3" fontId="12" fillId="0" borderId="20" xfId="2" applyNumberFormat="1" applyFont="1" applyBorder="1">
      <alignment vertical="center"/>
    </xf>
    <xf numFmtId="41" fontId="12" fillId="0" borderId="20" xfId="1" applyFont="1" applyBorder="1" applyAlignment="1">
      <alignment horizontal="left" vertical="center"/>
    </xf>
    <xf numFmtId="41" fontId="3" fillId="0" borderId="0" xfId="2" applyNumberFormat="1" applyFont="1">
      <alignment vertical="center"/>
    </xf>
    <xf numFmtId="0" fontId="15" fillId="0" borderId="37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38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37" xfId="0" applyFont="1" applyBorder="1" applyAlignment="1">
      <alignment vertical="center" shrinkToFit="1"/>
    </xf>
    <xf numFmtId="0" fontId="15" fillId="0" borderId="2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3" fillId="0" borderId="38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47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 shrinkToFit="1"/>
    </xf>
    <xf numFmtId="3" fontId="12" fillId="0" borderId="14" xfId="2" applyNumberFormat="1" applyFont="1" applyBorder="1" applyAlignment="1">
      <alignment horizontal="left" vertical="center"/>
    </xf>
    <xf numFmtId="3" fontId="12" fillId="0" borderId="40" xfId="2" applyNumberFormat="1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left" vertical="center"/>
    </xf>
    <xf numFmtId="0" fontId="12" fillId="0" borderId="16" xfId="2" applyFont="1" applyBorder="1" applyAlignment="1">
      <alignment vertical="center" shrinkToFit="1"/>
    </xf>
    <xf numFmtId="41" fontId="12" fillId="0" borderId="14" xfId="1" applyFont="1" applyBorder="1" applyAlignment="1">
      <alignment horizontal="left" vertical="center"/>
    </xf>
    <xf numFmtId="0" fontId="12" fillId="0" borderId="14" xfId="1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12" fillId="0" borderId="62" xfId="2" applyFont="1" applyBorder="1">
      <alignment vertical="center"/>
    </xf>
    <xf numFmtId="0" fontId="12" fillId="0" borderId="16" xfId="0" applyFont="1" applyBorder="1" applyAlignment="1">
      <alignment horizontal="left" vertical="center"/>
    </xf>
    <xf numFmtId="0" fontId="12" fillId="0" borderId="44" xfId="2" applyFont="1" applyBorder="1">
      <alignment vertical="center"/>
    </xf>
    <xf numFmtId="0" fontId="12" fillId="0" borderId="19" xfId="0" applyFont="1" applyBorder="1" applyAlignment="1">
      <alignment horizontal="left" vertical="center"/>
    </xf>
    <xf numFmtId="0" fontId="12" fillId="0" borderId="0" xfId="2" applyFont="1" applyBorder="1">
      <alignment vertical="center"/>
    </xf>
    <xf numFmtId="0" fontId="12" fillId="0" borderId="48" xfId="0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17" xfId="2" applyFont="1" applyBorder="1">
      <alignment vertical="center"/>
    </xf>
    <xf numFmtId="0" fontId="12" fillId="0" borderId="47" xfId="2" applyFont="1" applyBorder="1" applyAlignment="1">
      <alignment horizontal="left" vertical="center"/>
    </xf>
    <xf numFmtId="0" fontId="12" fillId="0" borderId="41" xfId="2" applyFont="1" applyBorder="1">
      <alignment vertical="center"/>
    </xf>
    <xf numFmtId="0" fontId="12" fillId="0" borderId="65" xfId="2" applyFont="1" applyBorder="1">
      <alignment vertical="center"/>
    </xf>
    <xf numFmtId="3" fontId="26" fillId="0" borderId="0" xfId="0" applyNumberFormat="1" applyFont="1" applyFill="1">
      <alignment vertical="center"/>
    </xf>
    <xf numFmtId="3" fontId="27" fillId="0" borderId="10" xfId="1" applyNumberFormat="1" applyFont="1" applyFill="1" applyBorder="1" applyAlignment="1">
      <alignment horizontal="right" vertical="center"/>
    </xf>
    <xf numFmtId="3" fontId="27" fillId="0" borderId="20" xfId="1" applyNumberFormat="1" applyFont="1" applyFill="1" applyBorder="1" applyAlignment="1">
      <alignment horizontal="right" vertical="center"/>
    </xf>
    <xf numFmtId="3" fontId="26" fillId="0" borderId="20" xfId="1" applyNumberFormat="1" applyFont="1" applyFill="1" applyBorder="1" applyAlignment="1">
      <alignment horizontal="right" vertical="center"/>
    </xf>
    <xf numFmtId="3" fontId="26" fillId="0" borderId="38" xfId="1" applyNumberFormat="1" applyFont="1" applyFill="1" applyBorder="1" applyAlignment="1">
      <alignment horizontal="right" vertical="center"/>
    </xf>
    <xf numFmtId="3" fontId="26" fillId="0" borderId="37" xfId="1" applyNumberFormat="1" applyFont="1" applyFill="1" applyBorder="1" applyAlignment="1">
      <alignment horizontal="right" vertical="center"/>
    </xf>
    <xf numFmtId="3" fontId="26" fillId="0" borderId="47" xfId="1" applyNumberFormat="1" applyFont="1" applyFill="1" applyBorder="1" applyAlignment="1">
      <alignment horizontal="right" vertical="center"/>
    </xf>
    <xf numFmtId="3" fontId="26" fillId="0" borderId="29" xfId="1" applyNumberFormat="1" applyFont="1" applyFill="1" applyBorder="1" applyAlignment="1">
      <alignment horizontal="right" vertical="center"/>
    </xf>
    <xf numFmtId="3" fontId="27" fillId="0" borderId="29" xfId="1" applyNumberFormat="1" applyFont="1" applyFill="1" applyBorder="1" applyAlignment="1">
      <alignment horizontal="right" vertical="center"/>
    </xf>
    <xf numFmtId="3" fontId="26" fillId="0" borderId="13" xfId="1" applyNumberFormat="1" applyFont="1" applyFill="1" applyBorder="1" applyAlignment="1">
      <alignment horizontal="right" vertical="center"/>
    </xf>
    <xf numFmtId="3" fontId="28" fillId="0" borderId="0" xfId="0" applyNumberFormat="1" applyFont="1" applyFill="1">
      <alignment vertical="center"/>
    </xf>
    <xf numFmtId="3" fontId="18" fillId="0" borderId="0" xfId="0" applyNumberFormat="1" applyFont="1" applyFill="1" applyAlignment="1">
      <alignment horizontal="right" vertical="center"/>
    </xf>
    <xf numFmtId="3" fontId="18" fillId="0" borderId="0" xfId="1" applyNumberFormat="1" applyFont="1" applyFill="1" applyBorder="1" applyAlignment="1">
      <alignment horizontal="right" vertical="center"/>
    </xf>
    <xf numFmtId="3" fontId="23" fillId="0" borderId="10" xfId="1" applyNumberFormat="1" applyFont="1" applyFill="1" applyBorder="1" applyAlignment="1">
      <alignment horizontal="right" vertical="center"/>
    </xf>
    <xf numFmtId="3" fontId="23" fillId="0" borderId="20" xfId="1" applyNumberFormat="1" applyFont="1" applyFill="1" applyBorder="1" applyAlignment="1">
      <alignment vertical="center"/>
    </xf>
    <xf numFmtId="3" fontId="3" fillId="0" borderId="20" xfId="1" applyNumberFormat="1" applyFont="1" applyFill="1" applyBorder="1" applyAlignment="1">
      <alignment vertical="center"/>
    </xf>
    <xf numFmtId="3" fontId="3" fillId="0" borderId="38" xfId="0" applyNumberFormat="1" applyFont="1" applyFill="1" applyBorder="1">
      <alignment vertical="center"/>
    </xf>
    <xf numFmtId="3" fontId="3" fillId="0" borderId="37" xfId="0" applyNumberFormat="1" applyFont="1" applyFill="1" applyBorder="1">
      <alignment vertical="center"/>
    </xf>
    <xf numFmtId="3" fontId="23" fillId="0" borderId="20" xfId="0" applyNumberFormat="1" applyFont="1" applyFill="1" applyBorder="1">
      <alignment vertical="center"/>
    </xf>
    <xf numFmtId="3" fontId="3" fillId="0" borderId="20" xfId="0" applyNumberFormat="1" applyFont="1" applyFill="1" applyBorder="1">
      <alignment vertical="center"/>
    </xf>
    <xf numFmtId="3" fontId="3" fillId="0" borderId="29" xfId="0" applyNumberFormat="1" applyFont="1" applyFill="1" applyBorder="1">
      <alignment vertical="center"/>
    </xf>
    <xf numFmtId="3" fontId="3" fillId="0" borderId="29" xfId="1" applyNumberFormat="1" applyFont="1" applyFill="1" applyBorder="1" applyAlignment="1">
      <alignment vertical="center"/>
    </xf>
    <xf numFmtId="3" fontId="3" fillId="0" borderId="37" xfId="1" applyNumberFormat="1" applyFont="1" applyFill="1" applyBorder="1" applyAlignment="1">
      <alignment vertical="center"/>
    </xf>
    <xf numFmtId="3" fontId="3" fillId="0" borderId="38" xfId="1" applyNumberFormat="1" applyFont="1" applyFill="1" applyBorder="1" applyAlignment="1">
      <alignment vertical="center"/>
    </xf>
    <xf numFmtId="3" fontId="3" fillId="0" borderId="47" xfId="1" applyNumberFormat="1" applyFont="1" applyFill="1" applyBorder="1" applyAlignment="1">
      <alignment vertical="center"/>
    </xf>
    <xf numFmtId="3" fontId="3" fillId="0" borderId="0" xfId="0" applyNumberFormat="1" applyFont="1" applyFill="1">
      <alignment vertical="center"/>
    </xf>
    <xf numFmtId="0" fontId="3" fillId="0" borderId="6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3" fontId="3" fillId="0" borderId="25" xfId="0" applyNumberFormat="1" applyFont="1" applyBorder="1">
      <alignment vertical="center"/>
    </xf>
    <xf numFmtId="3" fontId="3" fillId="0" borderId="25" xfId="0" applyNumberFormat="1" applyFont="1" applyFill="1" applyBorder="1">
      <alignment vertical="center"/>
    </xf>
    <xf numFmtId="3" fontId="3" fillId="0" borderId="25" xfId="1" applyNumberFormat="1" applyFont="1" applyBorder="1" applyAlignment="1">
      <alignment vertical="center"/>
    </xf>
    <xf numFmtId="43" fontId="25" fillId="0" borderId="25" xfId="7" applyNumberFormat="1" applyFont="1" applyFill="1" applyBorder="1" applyAlignment="1">
      <alignment horizontal="right" vertical="center"/>
    </xf>
    <xf numFmtId="0" fontId="3" fillId="0" borderId="49" xfId="0" applyFont="1" applyBorder="1" applyAlignment="1">
      <alignment vertical="center" shrinkToFit="1"/>
    </xf>
    <xf numFmtId="41" fontId="3" fillId="0" borderId="54" xfId="1" applyFont="1" applyBorder="1">
      <alignment vertical="center"/>
    </xf>
    <xf numFmtId="3" fontId="23" fillId="0" borderId="43" xfId="1" applyNumberFormat="1" applyFont="1" applyBorder="1" applyAlignment="1">
      <alignment vertical="center"/>
    </xf>
    <xf numFmtId="3" fontId="23" fillId="0" borderId="43" xfId="1" applyNumberFormat="1" applyFont="1" applyFill="1" applyBorder="1" applyAlignment="1">
      <alignment vertical="center"/>
    </xf>
    <xf numFmtId="43" fontId="24" fillId="0" borderId="43" xfId="7" applyNumberFormat="1" applyFont="1" applyFill="1" applyBorder="1" applyAlignment="1">
      <alignment horizontal="right" vertical="center"/>
    </xf>
    <xf numFmtId="0" fontId="3" fillId="0" borderId="73" xfId="0" applyFont="1" applyBorder="1" applyAlignment="1">
      <alignment vertical="center" shrinkToFit="1"/>
    </xf>
    <xf numFmtId="41" fontId="3" fillId="0" borderId="74" xfId="1" applyFont="1" applyBorder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2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2" xfId="0" applyFont="1" applyBorder="1" applyAlignment="1">
      <alignment horizontal="right" vertical="center"/>
    </xf>
    <xf numFmtId="0" fontId="0" fillId="0" borderId="42" xfId="0" applyBorder="1">
      <alignment vertical="center"/>
    </xf>
    <xf numFmtId="0" fontId="23" fillId="0" borderId="72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 wrapText="1"/>
    </xf>
    <xf numFmtId="3" fontId="19" fillId="0" borderId="33" xfId="0" applyNumberFormat="1" applyFont="1" applyBorder="1" applyAlignment="1">
      <alignment horizontal="center" vertical="center"/>
    </xf>
    <xf numFmtId="3" fontId="19" fillId="0" borderId="31" xfId="0" applyNumberFormat="1" applyFont="1" applyFill="1" applyBorder="1" applyAlignment="1">
      <alignment horizontal="center" vertical="center" wrapText="1"/>
    </xf>
    <xf numFmtId="3" fontId="19" fillId="0" borderId="33" xfId="0" applyNumberFormat="1" applyFont="1" applyFill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23" fillId="0" borderId="58" xfId="0" applyFont="1" applyBorder="1" applyAlignment="1">
      <alignment horizontal="center" vertical="center"/>
    </xf>
    <xf numFmtId="0" fontId="0" fillId="0" borderId="59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vertical="center" wrapText="1"/>
    </xf>
    <xf numFmtId="0" fontId="15" fillId="0" borderId="29" xfId="0" applyFont="1" applyBorder="1" applyAlignment="1">
      <alignment vertical="center" wrapText="1"/>
    </xf>
    <xf numFmtId="0" fontId="19" fillId="0" borderId="43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20" fillId="0" borderId="51" xfId="0" applyFont="1" applyBorder="1">
      <alignment vertical="center"/>
    </xf>
    <xf numFmtId="0" fontId="19" fillId="0" borderId="58" xfId="0" applyFont="1" applyBorder="1" applyAlignment="1">
      <alignment horizontal="center" vertical="center"/>
    </xf>
    <xf numFmtId="0" fontId="20" fillId="0" borderId="59" xfId="0" applyFont="1" applyBorder="1">
      <alignment vertical="center"/>
    </xf>
    <xf numFmtId="0" fontId="15" fillId="0" borderId="2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2" xfId="0" applyFont="1" applyBorder="1" applyAlignment="1">
      <alignment horizontal="right" vertical="center"/>
    </xf>
    <xf numFmtId="0" fontId="20" fillId="0" borderId="42" xfId="0" applyFont="1" applyBorder="1">
      <alignment vertical="center"/>
    </xf>
    <xf numFmtId="0" fontId="15" fillId="0" borderId="16" xfId="0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3" fontId="27" fillId="0" borderId="31" xfId="0" applyNumberFormat="1" applyFont="1" applyFill="1" applyBorder="1" applyAlignment="1">
      <alignment horizontal="center" vertical="center" wrapText="1"/>
    </xf>
    <xf numFmtId="3" fontId="27" fillId="0" borderId="33" xfId="0" applyNumberFormat="1" applyFont="1" applyFill="1" applyBorder="1" applyAlignment="1">
      <alignment horizontal="center" vertical="center"/>
    </xf>
    <xf numFmtId="0" fontId="15" fillId="0" borderId="38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31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3" fontId="12" fillId="0" borderId="14" xfId="2" applyNumberFormat="1" applyFont="1" applyBorder="1" applyAlignment="1">
      <alignment horizontal="left" vertical="center"/>
    </xf>
    <xf numFmtId="3" fontId="12" fillId="0" borderId="40" xfId="2" applyNumberFormat="1" applyFont="1" applyBorder="1" applyAlignment="1">
      <alignment horizontal="left" vertical="center"/>
    </xf>
    <xf numFmtId="3" fontId="12" fillId="0" borderId="53" xfId="2" applyNumberFormat="1" applyFont="1" applyBorder="1" applyAlignment="1">
      <alignment horizontal="left" vertical="center"/>
    </xf>
    <xf numFmtId="3" fontId="12" fillId="0" borderId="49" xfId="2" applyNumberFormat="1" applyFont="1" applyBorder="1" applyAlignment="1">
      <alignment horizontal="left" vertical="center"/>
    </xf>
    <xf numFmtId="3" fontId="12" fillId="0" borderId="50" xfId="2" applyNumberFormat="1" applyFont="1" applyBorder="1" applyAlignment="1">
      <alignment horizontal="left" vertical="center"/>
    </xf>
    <xf numFmtId="3" fontId="12" fillId="0" borderId="54" xfId="2" applyNumberFormat="1" applyFont="1" applyBorder="1" applyAlignment="1">
      <alignment horizontal="left" vertical="center"/>
    </xf>
    <xf numFmtId="0" fontId="13" fillId="0" borderId="67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1" fillId="0" borderId="45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</cellXfs>
  <cellStyles count="8">
    <cellStyle name="백분율" xfId="7" builtinId="5"/>
    <cellStyle name="쉼표 [0]" xfId="1" builtinId="6"/>
    <cellStyle name="쉼표 [0] 2" xfId="3" xr:uid="{00000000-0005-0000-0000-000002000000}"/>
    <cellStyle name="쉼표 [0] 3" xfId="4" xr:uid="{00000000-0005-0000-0000-000003000000}"/>
    <cellStyle name="표준" xfId="0" builtinId="0"/>
    <cellStyle name="표준 2" xfId="2" xr:uid="{00000000-0005-0000-0000-000005000000}"/>
    <cellStyle name="표준 3" xfId="5" xr:uid="{00000000-0005-0000-0000-000006000000}"/>
    <cellStyle name="표준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2022\0.%202022%20&#50696;&#49328;%20&#48143;%20&#52628;&#44221;\22&#45380;\&#52280;&#51339;&#51008;&#44592;&#50613;&#54617;&#44368;)%202022&#45380;%20&#44208;&#49328;&#52628;&#44221;%20&#50696;&#49328;&#50504;\&#52280;&#51339;&#51008;&#44592;&#50613;&#54617;&#44368;)%202022&#45380;&#46020;%20&#44208;&#49328;%20&#52628;&#44221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277;&#51064;\&#52280;&#51339;&#51008;&#44592;&#50613;&#54617;&#44368;\2018&#45380;\1&#52264;&#52628;&#44221;\&#48148;&#53461;&#54868;&#47732;\&#52280;&#51339;&#51008;&#44592;&#50613;&#54617;&#44368;)%2017&#45380;%202&#52264;%20&#52628;&#44221;%20&#48143;%2018&#45380;%20&#49324;&#50629;&#44228;&#54925;\&#52280;&#51339;&#51008;&#44592;&#50613;&#54617;&#44368;)%202018&#45380;&#46020;%20&#48376;&#50696;&#4932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277;&#51064;\&#52280;&#51339;&#51008;&#44592;&#50613;&#54617;&#44368;\2018&#45380;\1&#52264;&#52628;&#44221;\&#48148;&#53461;&#54868;&#47732;\&#52280;&#51339;&#51008;&#44592;&#50613;&#54617;&#44368;)%2017&#45380;%202&#52264;%20&#52628;&#44221;%20&#48143;%2018&#45380;%20&#49324;&#50629;&#44228;&#54925;\&#52280;&#51339;&#51008;&#44592;&#50613;&#54617;&#44368;)%202017&#45380;%202&#52264;%20&#52628;&#44221;%20&#50696;&#4932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예산총칙"/>
      <sheetName val="결산추경예산총괄"/>
      <sheetName val="결산추경예산내역-세입"/>
      <sheetName val="결산추경예산내역-세출"/>
      <sheetName val="결산추경예산 변경사유서"/>
    </sheetNames>
    <sheetDataSet>
      <sheetData sheetId="0"/>
      <sheetData sheetId="1"/>
      <sheetData sheetId="2"/>
      <sheetData sheetId="3">
        <row r="6">
          <cell r="E6">
            <v>418296000</v>
          </cell>
        </row>
      </sheetData>
      <sheetData sheetId="4">
        <row r="7">
          <cell r="E7">
            <v>365730293.73722398</v>
          </cell>
        </row>
        <row r="46">
          <cell r="E46">
            <v>2340000</v>
          </cell>
        </row>
        <row r="56">
          <cell r="E56">
            <v>400000</v>
          </cell>
        </row>
        <row r="58">
          <cell r="E58">
            <v>13304000</v>
          </cell>
        </row>
        <row r="64">
          <cell r="E64">
            <v>5640000</v>
          </cell>
        </row>
        <row r="73">
          <cell r="E73">
            <v>9600000</v>
          </cell>
        </row>
        <row r="80">
          <cell r="E80">
            <v>6665196</v>
          </cell>
        </row>
        <row r="81">
          <cell r="E81">
            <v>6665196</v>
          </cell>
        </row>
        <row r="82">
          <cell r="E82">
            <v>5815196</v>
          </cell>
        </row>
        <row r="86">
          <cell r="E86">
            <v>850000</v>
          </cell>
        </row>
        <row r="97">
          <cell r="E97">
            <v>600000</v>
          </cell>
        </row>
        <row r="107">
          <cell r="E107">
            <v>200000</v>
          </cell>
        </row>
        <row r="119">
          <cell r="E119">
            <v>600000</v>
          </cell>
        </row>
        <row r="124">
          <cell r="E124">
            <v>1823000</v>
          </cell>
        </row>
        <row r="130">
          <cell r="E130">
            <v>800000</v>
          </cell>
        </row>
        <row r="133">
          <cell r="E133">
            <v>200000</v>
          </cell>
        </row>
        <row r="139">
          <cell r="E139">
            <v>20000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본예산 변경 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사무비</v>
          </cell>
        </row>
        <row r="9">
          <cell r="C9" t="str">
            <v>인건비</v>
          </cell>
        </row>
        <row r="10">
          <cell r="D10" t="str">
            <v>급여</v>
          </cell>
        </row>
        <row r="27">
          <cell r="D27" t="str">
            <v>제수당</v>
          </cell>
        </row>
        <row r="42">
          <cell r="D42" t="str">
            <v>퇴직금및퇴직적립금</v>
          </cell>
        </row>
      </sheetData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총칙"/>
      <sheetName val="총괄"/>
      <sheetName val="세입"/>
      <sheetName val="세출"/>
      <sheetName val="결산추경 사유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9">
          <cell r="D39" t="str">
            <v>사회보험부담금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view="pageBreakPreview" zoomScale="60" zoomScaleNormal="100" workbookViewId="0">
      <selection activeCell="A3" sqref="A1:A3"/>
    </sheetView>
  </sheetViews>
  <sheetFormatPr defaultRowHeight="13.5" x14ac:dyDescent="0.15"/>
  <cols>
    <col min="1" max="1" width="121.44140625" style="38" customWidth="1"/>
    <col min="2" max="16384" width="8.88671875" style="38"/>
  </cols>
  <sheetData>
    <row r="1" spans="1:1" ht="84.75" customHeight="1" x14ac:dyDescent="0.15">
      <c r="A1" s="1"/>
    </row>
    <row r="2" spans="1:1" ht="30" customHeight="1" x14ac:dyDescent="0.15">
      <c r="A2" s="40" t="s">
        <v>155</v>
      </c>
    </row>
    <row r="3" spans="1:1" ht="30" customHeight="1" x14ac:dyDescent="0.4">
      <c r="A3" s="41" t="s">
        <v>232</v>
      </c>
    </row>
    <row r="4" spans="1:1" ht="30" customHeight="1" x14ac:dyDescent="0.15">
      <c r="A4" s="1"/>
    </row>
    <row r="5" spans="1:1" ht="30" customHeight="1" x14ac:dyDescent="0.15">
      <c r="A5" s="1"/>
    </row>
    <row r="6" spans="1:1" ht="231" customHeight="1" x14ac:dyDescent="0.3">
      <c r="A6" s="11" t="s">
        <v>233</v>
      </c>
    </row>
    <row r="7" spans="1:1" ht="217.5" customHeight="1" x14ac:dyDescent="0.15">
      <c r="A7" s="1"/>
    </row>
    <row r="8" spans="1:1" ht="30" customHeight="1" x14ac:dyDescent="0.15">
      <c r="A8" s="2" t="s">
        <v>0</v>
      </c>
    </row>
    <row r="9" spans="1:1" ht="30" customHeight="1" x14ac:dyDescent="0.15">
      <c r="A9" s="3" t="s">
        <v>73</v>
      </c>
    </row>
  </sheetData>
  <customSheetViews>
    <customSheetView guid="{29BE6789-D580-482F-AE13-9E62D887C1AB}" scale="60" showPageBreaks="1" printArea="1" view="pageBreakPreview">
      <selection activeCell="A8" sqref="A8:A9"/>
      <pageMargins left="0.7480314960629921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/>
    </customSheetView>
  </customSheetViews>
  <phoneticPr fontId="2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view="pageBreakPreview" zoomScaleNormal="100" zoomScaleSheetLayoutView="100" workbookViewId="0"/>
  </sheetViews>
  <sheetFormatPr defaultRowHeight="13.5" x14ac:dyDescent="0.15"/>
  <cols>
    <col min="1" max="1" width="79.6640625" style="38" customWidth="1"/>
    <col min="2" max="2" width="9.5546875" style="38" bestFit="1" customWidth="1"/>
    <col min="3" max="16384" width="8.88671875" style="38"/>
  </cols>
  <sheetData>
    <row r="1" spans="1:2" ht="30" customHeight="1" x14ac:dyDescent="0.3">
      <c r="A1" s="42" t="s">
        <v>11</v>
      </c>
    </row>
    <row r="2" spans="1:2" ht="30" customHeight="1" x14ac:dyDescent="0.15">
      <c r="A2" s="43"/>
    </row>
    <row r="3" spans="1:2" ht="30" customHeight="1" x14ac:dyDescent="0.15">
      <c r="A3" s="44" t="s">
        <v>231</v>
      </c>
    </row>
    <row r="4" spans="1:2" ht="30" customHeight="1" x14ac:dyDescent="0.15">
      <c r="A4" s="44"/>
    </row>
    <row r="5" spans="1:2" ht="30" customHeight="1" x14ac:dyDescent="0.15">
      <c r="A5" s="44" t="s">
        <v>269</v>
      </c>
      <c r="B5" s="65"/>
    </row>
    <row r="6" spans="1:2" ht="30" customHeight="1" x14ac:dyDescent="0.15">
      <c r="A6" s="44"/>
    </row>
    <row r="7" spans="1:2" ht="30" customHeight="1" x14ac:dyDescent="0.15">
      <c r="A7" s="44" t="s">
        <v>129</v>
      </c>
    </row>
    <row r="8" spans="1:2" ht="30" customHeight="1" x14ac:dyDescent="0.15">
      <c r="A8" s="44"/>
    </row>
    <row r="9" spans="1:2" ht="30" customHeight="1" x14ac:dyDescent="0.15">
      <c r="A9" s="66" t="s">
        <v>100</v>
      </c>
    </row>
    <row r="10" spans="1:2" ht="30" customHeight="1" x14ac:dyDescent="0.15">
      <c r="A10" s="44"/>
    </row>
    <row r="11" spans="1:2" ht="30" customHeight="1" x14ac:dyDescent="0.15">
      <c r="A11" s="43" t="s">
        <v>107</v>
      </c>
    </row>
    <row r="12" spans="1:2" ht="30" customHeight="1" x14ac:dyDescent="0.15">
      <c r="A12" s="43" t="s">
        <v>108</v>
      </c>
    </row>
    <row r="13" spans="1:2" ht="30" customHeight="1" x14ac:dyDescent="0.15">
      <c r="A13" s="43"/>
    </row>
    <row r="14" spans="1:2" ht="30" customHeight="1" x14ac:dyDescent="0.15">
      <c r="A14" s="43" t="s">
        <v>97</v>
      </c>
    </row>
    <row r="15" spans="1:2" ht="30" customHeight="1" x14ac:dyDescent="0.15">
      <c r="A15" s="43" t="s">
        <v>101</v>
      </c>
    </row>
    <row r="16" spans="1:2" ht="30" customHeight="1" x14ac:dyDescent="0.15">
      <c r="A16" s="43"/>
    </row>
    <row r="17" spans="1:1" ht="30" customHeight="1" x14ac:dyDescent="0.15">
      <c r="A17" s="43" t="s">
        <v>109</v>
      </c>
    </row>
    <row r="18" spans="1:1" ht="30" customHeight="1" x14ac:dyDescent="0.15">
      <c r="A18" s="43" t="s">
        <v>98</v>
      </c>
    </row>
    <row r="19" spans="1:1" ht="14.25" x14ac:dyDescent="0.15">
      <c r="A19" s="43"/>
    </row>
    <row r="20" spans="1:1" ht="14.25" x14ac:dyDescent="0.15">
      <c r="A20" s="43"/>
    </row>
    <row r="21" spans="1:1" ht="20.25" x14ac:dyDescent="0.25">
      <c r="A21" s="45"/>
    </row>
  </sheetData>
  <customSheetViews>
    <customSheetView guid="{29BE6789-D580-482F-AE13-9E62D887C1AB}" showPageBreaks="1" view="pageBreakPreview">
      <selection activeCell="A5" sqref="A5"/>
      <pageMargins left="0.94488188976377963" right="0.74803149606299213" top="0.98425196850393704" bottom="0.98425196850393704" header="0.51181102362204722" footer="0.51181102362204722"/>
      <pageSetup paperSize="9" scale="80" firstPageNumber="183" orientation="portrait" useFirstPageNumber="1" r:id="rId1"/>
      <headerFooter alignWithMargins="0">
        <oddFooter xml:space="preserve">&amp;R참좋은 기억학교(2022.02.14)
</oddFooter>
      </headerFooter>
    </customSheetView>
  </customSheetViews>
  <phoneticPr fontId="2" type="noConversion"/>
  <pageMargins left="0.94488188976377963" right="0.74803149606299213" top="0.98425196850393704" bottom="0.98425196850393704" header="0.51181102362204722" footer="0.51181102362204722"/>
  <pageSetup paperSize="9" scale="80" firstPageNumber="183" orientation="portrait" useFirstPageNumber="1" r:id="rId2"/>
  <headerFooter alignWithMargins="0">
    <oddFooter xml:space="preserve">&amp;R참좋은 기억학교(2023.02.13.)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view="pageBreakPreview" zoomScaleNormal="100" zoomScaleSheetLayoutView="100" workbookViewId="0">
      <selection sqref="A1:E1"/>
    </sheetView>
  </sheetViews>
  <sheetFormatPr defaultRowHeight="13.5" x14ac:dyDescent="0.15"/>
  <cols>
    <col min="1" max="1" width="14.88671875" style="10" customWidth="1"/>
    <col min="2" max="2" width="15.88671875" style="10" customWidth="1"/>
    <col min="3" max="5" width="13.77734375" style="10" customWidth="1"/>
    <col min="6" max="7" width="11.77734375" bestFit="1" customWidth="1"/>
  </cols>
  <sheetData>
    <row r="1" spans="1:7" ht="39" customHeight="1" x14ac:dyDescent="0.15">
      <c r="A1" s="357" t="s">
        <v>264</v>
      </c>
      <c r="B1" s="357"/>
      <c r="C1" s="357"/>
      <c r="D1" s="357"/>
      <c r="E1" s="357"/>
    </row>
    <row r="2" spans="1:7" ht="18" customHeight="1" x14ac:dyDescent="0.15">
      <c r="A2" s="4"/>
      <c r="B2" s="4"/>
      <c r="C2" s="4"/>
      <c r="D2" s="4"/>
      <c r="E2" s="36" t="s">
        <v>83</v>
      </c>
    </row>
    <row r="3" spans="1:7" ht="21" customHeight="1" x14ac:dyDescent="0.15">
      <c r="A3" s="358" t="s">
        <v>1</v>
      </c>
      <c r="B3" s="359"/>
      <c r="C3" s="359"/>
      <c r="D3" s="359"/>
      <c r="E3" s="360"/>
    </row>
    <row r="4" spans="1:7" ht="21" customHeight="1" thickBot="1" x14ac:dyDescent="0.2">
      <c r="A4" s="12" t="s">
        <v>2</v>
      </c>
      <c r="B4" s="13" t="s">
        <v>3</v>
      </c>
      <c r="C4" s="61" t="s">
        <v>227</v>
      </c>
      <c r="D4" s="61" t="s">
        <v>228</v>
      </c>
      <c r="E4" s="14" t="s">
        <v>4</v>
      </c>
    </row>
    <row r="5" spans="1:7" ht="21" customHeight="1" thickTop="1" x14ac:dyDescent="0.15">
      <c r="A5" s="361" t="s">
        <v>5</v>
      </c>
      <c r="B5" s="362"/>
      <c r="C5" s="15">
        <v>437335000</v>
      </c>
      <c r="D5" s="15">
        <f>D6+D7+D8+D9+D10+D11</f>
        <v>440000000</v>
      </c>
      <c r="E5" s="16">
        <f>E6+E7+E8+E9+E10+E11</f>
        <v>2665000</v>
      </c>
      <c r="G5" s="104"/>
    </row>
    <row r="6" spans="1:7" ht="21" customHeight="1" x14ac:dyDescent="0.15">
      <c r="A6" s="46" t="s">
        <v>74</v>
      </c>
      <c r="B6" s="17" t="s">
        <v>75</v>
      </c>
      <c r="C6" s="18">
        <v>47120000</v>
      </c>
      <c r="D6" s="18">
        <f>'1차추경예산내역-세입'!E7</f>
        <v>47120000</v>
      </c>
      <c r="E6" s="19">
        <f t="shared" ref="E6:E11" si="0">D6-C6</f>
        <v>0</v>
      </c>
      <c r="G6" s="104"/>
    </row>
    <row r="7" spans="1:7" ht="21" customHeight="1" x14ac:dyDescent="0.15">
      <c r="A7" s="20" t="s">
        <v>76</v>
      </c>
      <c r="B7" s="17" t="s">
        <v>77</v>
      </c>
      <c r="C7" s="18">
        <f>'1차추경예산내역-세입'!D12</f>
        <v>368616944</v>
      </c>
      <c r="D7" s="18">
        <f>'1차추경예산내역-세입'!E11</f>
        <v>370064348</v>
      </c>
      <c r="E7" s="19">
        <f t="shared" si="0"/>
        <v>1447404</v>
      </c>
    </row>
    <row r="8" spans="1:7" ht="21" customHeight="1" x14ac:dyDescent="0.15">
      <c r="A8" s="47" t="s">
        <v>79</v>
      </c>
      <c r="B8" s="17" t="s">
        <v>78</v>
      </c>
      <c r="C8" s="18">
        <f>'1차추경예산내역-세입'!D18</f>
        <v>900000</v>
      </c>
      <c r="D8" s="18">
        <f>'1차추경예산내역-세입'!E18</f>
        <v>900000</v>
      </c>
      <c r="E8" s="19">
        <f t="shared" si="0"/>
        <v>0</v>
      </c>
    </row>
    <row r="9" spans="1:7" ht="21" customHeight="1" x14ac:dyDescent="0.15">
      <c r="A9" s="20" t="s">
        <v>80</v>
      </c>
      <c r="B9" s="17" t="s">
        <v>80</v>
      </c>
      <c r="C9" s="18">
        <f>'1차추경예산내역-세입'!D23</f>
        <v>3200000</v>
      </c>
      <c r="D9" s="18">
        <f>'1차추경예산내역-세입'!E23</f>
        <v>0</v>
      </c>
      <c r="E9" s="19">
        <f t="shared" si="0"/>
        <v>-3200000</v>
      </c>
    </row>
    <row r="10" spans="1:7" ht="21" customHeight="1" x14ac:dyDescent="0.15">
      <c r="A10" s="21" t="s">
        <v>81</v>
      </c>
      <c r="B10" s="22" t="s">
        <v>81</v>
      </c>
      <c r="C10" s="23">
        <f>'1차추경예산내역-세입'!D26</f>
        <v>5498056</v>
      </c>
      <c r="D10" s="23">
        <f>'1차추경예산내역-세입'!E26</f>
        <v>8051289</v>
      </c>
      <c r="E10" s="24">
        <f t="shared" si="0"/>
        <v>2553233</v>
      </c>
    </row>
    <row r="11" spans="1:7" ht="21" customHeight="1" x14ac:dyDescent="0.15">
      <c r="A11" s="25" t="s">
        <v>82</v>
      </c>
      <c r="B11" s="26" t="s">
        <v>82</v>
      </c>
      <c r="C11" s="27">
        <v>12000000</v>
      </c>
      <c r="D11" s="27">
        <f>'1차추경예산내역-세입'!E34</f>
        <v>13864363</v>
      </c>
      <c r="E11" s="28">
        <f t="shared" si="0"/>
        <v>1864363</v>
      </c>
    </row>
    <row r="12" spans="1:7" ht="21" customHeight="1" x14ac:dyDescent="0.15">
      <c r="A12" s="5"/>
      <c r="B12" s="5"/>
      <c r="C12" s="6"/>
      <c r="D12" s="86"/>
      <c r="E12" s="7"/>
    </row>
    <row r="13" spans="1:7" ht="21" customHeight="1" x14ac:dyDescent="0.15">
      <c r="A13" s="8"/>
      <c r="B13" s="8"/>
      <c r="C13" s="8"/>
      <c r="D13" s="8"/>
      <c r="E13" s="35" t="s">
        <v>83</v>
      </c>
    </row>
    <row r="14" spans="1:7" ht="21" customHeight="1" x14ac:dyDescent="0.15">
      <c r="A14" s="358" t="s">
        <v>6</v>
      </c>
      <c r="B14" s="359"/>
      <c r="C14" s="359"/>
      <c r="D14" s="359"/>
      <c r="E14" s="360"/>
    </row>
    <row r="15" spans="1:7" ht="21" customHeight="1" thickBot="1" x14ac:dyDescent="0.2">
      <c r="A15" s="12" t="s">
        <v>7</v>
      </c>
      <c r="B15" s="13" t="s">
        <v>8</v>
      </c>
      <c r="C15" s="61" t="s">
        <v>227</v>
      </c>
      <c r="D15" s="61" t="s">
        <v>228</v>
      </c>
      <c r="E15" s="14" t="s">
        <v>9</v>
      </c>
    </row>
    <row r="16" spans="1:7" ht="21" customHeight="1" thickTop="1" x14ac:dyDescent="0.15">
      <c r="A16" s="29" t="s">
        <v>10</v>
      </c>
      <c r="B16" s="30"/>
      <c r="C16" s="15">
        <v>437335000</v>
      </c>
      <c r="D16" s="15">
        <f>SUM(D17:D24)</f>
        <v>440000000.47373056</v>
      </c>
      <c r="E16" s="31">
        <f t="shared" ref="E16:E24" si="1">D16-C16</f>
        <v>2665000.4737305641</v>
      </c>
      <c r="F16" s="104"/>
    </row>
    <row r="17" spans="1:6" ht="21" customHeight="1" x14ac:dyDescent="0.15">
      <c r="A17" s="354" t="s">
        <v>84</v>
      </c>
      <c r="B17" s="32" t="s">
        <v>85</v>
      </c>
      <c r="C17" s="33">
        <v>347816002</v>
      </c>
      <c r="D17" s="33">
        <f>'1차추경예산내역-세출'!E8</f>
        <v>348064348.47373056</v>
      </c>
      <c r="E17" s="49">
        <f t="shared" si="1"/>
        <v>248346.47373056412</v>
      </c>
      <c r="F17" s="104"/>
    </row>
    <row r="18" spans="1:6" ht="21" customHeight="1" x14ac:dyDescent="0.15">
      <c r="A18" s="355"/>
      <c r="B18" s="17" t="s">
        <v>87</v>
      </c>
      <c r="C18" s="34">
        <v>1440000</v>
      </c>
      <c r="D18" s="34">
        <f>'1차추경예산내역-세출'!E47</f>
        <v>1440000</v>
      </c>
      <c r="E18" s="50">
        <f t="shared" si="1"/>
        <v>0</v>
      </c>
      <c r="F18" s="104"/>
    </row>
    <row r="19" spans="1:6" ht="21" customHeight="1" x14ac:dyDescent="0.15">
      <c r="A19" s="356"/>
      <c r="B19" s="17" t="s">
        <v>86</v>
      </c>
      <c r="C19" s="34">
        <v>38644000</v>
      </c>
      <c r="D19" s="34">
        <f>'1차추경예산내역-세출'!E52</f>
        <v>42299200</v>
      </c>
      <c r="E19" s="50">
        <f t="shared" si="1"/>
        <v>3655200</v>
      </c>
    </row>
    <row r="20" spans="1:6" ht="21" customHeight="1" x14ac:dyDescent="0.15">
      <c r="A20" s="20" t="s">
        <v>88</v>
      </c>
      <c r="B20" s="17" t="s">
        <v>89</v>
      </c>
      <c r="C20" s="34">
        <v>6665196</v>
      </c>
      <c r="D20" s="34">
        <f>'1차추경예산내역-세출'!E78</f>
        <v>4709996</v>
      </c>
      <c r="E20" s="50">
        <f t="shared" si="1"/>
        <v>-1955200</v>
      </c>
    </row>
    <row r="21" spans="1:6" ht="21" customHeight="1" x14ac:dyDescent="0.15">
      <c r="A21" s="354" t="s">
        <v>90</v>
      </c>
      <c r="B21" s="17" t="s">
        <v>86</v>
      </c>
      <c r="C21" s="34">
        <v>26008000</v>
      </c>
      <c r="D21" s="34">
        <f>'1차추경예산내역-세출'!E88</f>
        <v>26008000</v>
      </c>
      <c r="E21" s="50">
        <f t="shared" si="1"/>
        <v>0</v>
      </c>
    </row>
    <row r="22" spans="1:6" ht="21" customHeight="1" x14ac:dyDescent="0.15">
      <c r="A22" s="355"/>
      <c r="B22" s="17" t="s">
        <v>90</v>
      </c>
      <c r="C22" s="34">
        <v>9760000</v>
      </c>
      <c r="D22" s="34">
        <f>'1차추경예산내역-세출'!E94</f>
        <v>10100000</v>
      </c>
      <c r="E22" s="50">
        <f t="shared" si="1"/>
        <v>340000</v>
      </c>
    </row>
    <row r="23" spans="1:6" ht="21" customHeight="1" x14ac:dyDescent="0.15">
      <c r="A23" s="356"/>
      <c r="B23" s="17" t="s">
        <v>92</v>
      </c>
      <c r="C23" s="34">
        <v>6823000</v>
      </c>
      <c r="D23" s="34">
        <f>'1차추경예산내역-세출'!E125</f>
        <v>7223000</v>
      </c>
      <c r="E23" s="50">
        <f t="shared" si="1"/>
        <v>400000</v>
      </c>
    </row>
    <row r="24" spans="1:6" ht="21" customHeight="1" x14ac:dyDescent="0.15">
      <c r="A24" s="25" t="s">
        <v>91</v>
      </c>
      <c r="B24" s="26" t="s">
        <v>91</v>
      </c>
      <c r="C24" s="27">
        <v>178802</v>
      </c>
      <c r="D24" s="27">
        <f>'1차추경예산내역-세출'!E139</f>
        <v>155456</v>
      </c>
      <c r="E24" s="37">
        <f t="shared" si="1"/>
        <v>-23346</v>
      </c>
    </row>
    <row r="25" spans="1:6" x14ac:dyDescent="0.15">
      <c r="A25" s="9"/>
      <c r="B25" s="9"/>
    </row>
  </sheetData>
  <customSheetViews>
    <customSheetView guid="{29BE6789-D580-482F-AE13-9E62D887C1AB}" showPageBreaks="1" printArea="1" view="pageBreakPreview">
      <selection activeCell="C16" sqref="C16"/>
      <pageMargins left="0.94488188976377963" right="0.74803149606299213" top="0.98425196850393704" bottom="0.98425196850393704" header="0.51181102362204722" footer="0.51181102362204722"/>
      <pageSetup paperSize="9" firstPageNumber="185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6">
    <mergeCell ref="A17:A19"/>
    <mergeCell ref="A21:A23"/>
    <mergeCell ref="A1:E1"/>
    <mergeCell ref="A3:E3"/>
    <mergeCell ref="A5:B5"/>
    <mergeCell ref="A14:E14"/>
  </mergeCells>
  <phoneticPr fontId="2" type="noConversion"/>
  <pageMargins left="0.94488188976377963" right="0.74803149606299213" top="0.98425196850393704" bottom="0.98425196850393704" header="0.51181102362204722" footer="0.51181102362204722"/>
  <pageSetup paperSize="9" firstPageNumber="185" orientation="portrait" useFirstPageNumber="1" r:id="rId2"/>
  <headerFooter alignWithMargins="0">
    <oddFooter xml:space="preserve">&amp;R참좋은기억학교(2023.02.13.)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"/>
  <sheetViews>
    <sheetView view="pageBreakPreview" zoomScaleNormal="100" zoomScaleSheetLayoutView="100" workbookViewId="0">
      <selection sqref="A1:H1"/>
    </sheetView>
  </sheetViews>
  <sheetFormatPr defaultRowHeight="13.5" x14ac:dyDescent="0.15"/>
  <cols>
    <col min="1" max="1" width="9.44140625" style="38" customWidth="1"/>
    <col min="2" max="2" width="10.21875" style="38" customWidth="1"/>
    <col min="3" max="3" width="12.6640625" style="38" customWidth="1"/>
    <col min="4" max="4" width="12.6640625" style="65" customWidth="1"/>
    <col min="5" max="5" width="13" style="339" customWidth="1"/>
    <col min="6" max="6" width="11.77734375" style="65" customWidth="1"/>
    <col min="7" max="7" width="10.109375" style="48" customWidth="1"/>
    <col min="8" max="8" width="40.33203125" style="38" customWidth="1"/>
    <col min="9" max="9" width="14" style="76" bestFit="1" customWidth="1"/>
    <col min="10" max="10" width="11.44140625" style="38" bestFit="1" customWidth="1"/>
    <col min="11" max="11" width="14" style="80" bestFit="1" customWidth="1"/>
    <col min="12" max="12" width="12.44140625" style="38" bestFit="1" customWidth="1"/>
    <col min="13" max="13" width="10.44140625" style="38" bestFit="1" customWidth="1"/>
    <col min="14" max="16384" width="8.88671875" style="38"/>
  </cols>
  <sheetData>
    <row r="1" spans="1:13" ht="20.100000000000001" customHeight="1" x14ac:dyDescent="0.15">
      <c r="A1" s="369" t="s">
        <v>230</v>
      </c>
      <c r="B1" s="369"/>
      <c r="C1" s="369"/>
      <c r="D1" s="369"/>
      <c r="E1" s="369"/>
      <c r="F1" s="369"/>
      <c r="G1" s="369"/>
      <c r="H1" s="369"/>
      <c r="I1" s="76" t="s">
        <v>242</v>
      </c>
    </row>
    <row r="2" spans="1:13" ht="20.100000000000001" customHeight="1" x14ac:dyDescent="0.15">
      <c r="A2" s="69"/>
      <c r="B2" s="69"/>
      <c r="C2" s="69"/>
      <c r="D2" s="84"/>
      <c r="E2" s="325"/>
      <c r="F2" s="84"/>
      <c r="G2" s="69"/>
      <c r="H2" s="83"/>
    </row>
    <row r="3" spans="1:13" ht="20.100000000000001" customHeight="1" x14ac:dyDescent="0.15">
      <c r="A3" s="370" t="s">
        <v>128</v>
      </c>
      <c r="B3" s="371"/>
      <c r="C3" s="371"/>
      <c r="D3" s="7"/>
      <c r="E3" s="326"/>
      <c r="F3" s="7"/>
      <c r="H3" s="372" t="s">
        <v>12</v>
      </c>
      <c r="I3" s="373"/>
    </row>
    <row r="4" spans="1:13" ht="20.100000000000001" customHeight="1" x14ac:dyDescent="0.15">
      <c r="A4" s="374" t="s">
        <v>13</v>
      </c>
      <c r="B4" s="375"/>
      <c r="C4" s="376"/>
      <c r="D4" s="377" t="s">
        <v>222</v>
      </c>
      <c r="E4" s="379" t="s">
        <v>223</v>
      </c>
      <c r="F4" s="381" t="s">
        <v>4</v>
      </c>
      <c r="G4" s="381"/>
      <c r="H4" s="382" t="s">
        <v>14</v>
      </c>
      <c r="I4" s="383"/>
    </row>
    <row r="5" spans="1:13" ht="22.5" customHeight="1" thickBot="1" x14ac:dyDescent="0.2">
      <c r="A5" s="214" t="s">
        <v>15</v>
      </c>
      <c r="B5" s="215" t="s">
        <v>16</v>
      </c>
      <c r="C5" s="215" t="s">
        <v>17</v>
      </c>
      <c r="D5" s="378"/>
      <c r="E5" s="380"/>
      <c r="F5" s="216" t="s">
        <v>18</v>
      </c>
      <c r="G5" s="217" t="s">
        <v>19</v>
      </c>
      <c r="H5" s="384"/>
      <c r="I5" s="385"/>
    </row>
    <row r="6" spans="1:13" ht="20.100000000000001" customHeight="1" thickTop="1" x14ac:dyDescent="0.15">
      <c r="A6" s="386" t="s">
        <v>20</v>
      </c>
      <c r="B6" s="387"/>
      <c r="C6" s="388"/>
      <c r="D6" s="218">
        <v>437335000</v>
      </c>
      <c r="E6" s="327">
        <f>E7+E11+E26+E34+E23+E18</f>
        <v>440000000</v>
      </c>
      <c r="F6" s="219">
        <f>E6-D6</f>
        <v>2665000</v>
      </c>
      <c r="G6" s="220">
        <f>E6/D6*100</f>
        <v>100.60937267769559</v>
      </c>
      <c r="H6" s="221"/>
      <c r="I6" s="222"/>
      <c r="J6" s="65"/>
    </row>
    <row r="7" spans="1:13" ht="20.100000000000001" customHeight="1" x14ac:dyDescent="0.15">
      <c r="A7" s="366" t="s">
        <v>30</v>
      </c>
      <c r="B7" s="367"/>
      <c r="C7" s="368"/>
      <c r="D7" s="226">
        <v>47120000</v>
      </c>
      <c r="E7" s="328">
        <f>I10</f>
        <v>47120000</v>
      </c>
      <c r="F7" s="219">
        <f t="shared" ref="F7:F36" si="0">E7-D7</f>
        <v>0</v>
      </c>
      <c r="G7" s="220">
        <f>E7/D7*100</f>
        <v>100</v>
      </c>
      <c r="H7" s="227" t="s">
        <v>31</v>
      </c>
      <c r="I7" s="228"/>
    </row>
    <row r="8" spans="1:13" ht="20.100000000000001" customHeight="1" x14ac:dyDescent="0.15">
      <c r="A8" s="389"/>
      <c r="B8" s="390" t="s">
        <v>31</v>
      </c>
      <c r="C8" s="368"/>
      <c r="D8" s="230">
        <v>47120000</v>
      </c>
      <c r="E8" s="329">
        <f>E9</f>
        <v>47120000</v>
      </c>
      <c r="F8" s="231">
        <f t="shared" si="0"/>
        <v>0</v>
      </c>
      <c r="G8" s="232">
        <f t="shared" ref="G8:G36" si="1">E8/D8*100</f>
        <v>100</v>
      </c>
      <c r="H8" s="227" t="s">
        <v>31</v>
      </c>
      <c r="I8" s="228"/>
      <c r="J8" s="65"/>
    </row>
    <row r="9" spans="1:13" ht="20.100000000000001" customHeight="1" x14ac:dyDescent="0.15">
      <c r="A9" s="389"/>
      <c r="B9" s="391"/>
      <c r="C9" s="234" t="s">
        <v>31</v>
      </c>
      <c r="D9" s="235">
        <v>47120000</v>
      </c>
      <c r="E9" s="330">
        <f>I10</f>
        <v>47120000</v>
      </c>
      <c r="F9" s="236">
        <f t="shared" si="0"/>
        <v>0</v>
      </c>
      <c r="G9" s="237">
        <f t="shared" si="1"/>
        <v>100</v>
      </c>
      <c r="H9" s="238" t="s">
        <v>31</v>
      </c>
      <c r="I9" s="239"/>
    </row>
    <row r="10" spans="1:13" ht="20.100000000000001" customHeight="1" x14ac:dyDescent="0.15">
      <c r="A10" s="389"/>
      <c r="B10" s="391"/>
      <c r="C10" s="240"/>
      <c r="D10" s="241"/>
      <c r="E10" s="331"/>
      <c r="F10" s="242"/>
      <c r="G10" s="243"/>
      <c r="H10" s="244" t="s">
        <v>273</v>
      </c>
      <c r="I10" s="245">
        <f>10000*19*248</f>
        <v>47120000</v>
      </c>
    </row>
    <row r="11" spans="1:13" ht="20.100000000000001" customHeight="1" x14ac:dyDescent="0.15">
      <c r="A11" s="366" t="s">
        <v>32</v>
      </c>
      <c r="B11" s="367"/>
      <c r="C11" s="368"/>
      <c r="D11" s="246">
        <v>368616944</v>
      </c>
      <c r="E11" s="332">
        <f>E12</f>
        <v>370064348</v>
      </c>
      <c r="F11" s="226">
        <f t="shared" si="0"/>
        <v>1447404</v>
      </c>
      <c r="G11" s="247">
        <f t="shared" si="1"/>
        <v>100.39265802171047</v>
      </c>
      <c r="H11" s="227" t="s">
        <v>32</v>
      </c>
      <c r="I11" s="228"/>
      <c r="J11" s="65"/>
    </row>
    <row r="12" spans="1:13" ht="20.100000000000001" customHeight="1" x14ac:dyDescent="0.15">
      <c r="A12" s="248"/>
      <c r="B12" s="390" t="s">
        <v>32</v>
      </c>
      <c r="C12" s="368"/>
      <c r="D12" s="235">
        <v>368616944</v>
      </c>
      <c r="E12" s="330">
        <f>SUM(E13:E17)</f>
        <v>370064348</v>
      </c>
      <c r="F12" s="231">
        <f t="shared" si="0"/>
        <v>1447404</v>
      </c>
      <c r="G12" s="232">
        <f t="shared" si="1"/>
        <v>100.39265802171047</v>
      </c>
      <c r="H12" s="227" t="s">
        <v>38</v>
      </c>
      <c r="I12" s="228"/>
    </row>
    <row r="13" spans="1:13" ht="20.100000000000001" customHeight="1" x14ac:dyDescent="0.15">
      <c r="A13" s="248" t="s">
        <v>141</v>
      </c>
      <c r="B13" s="233"/>
      <c r="C13" s="249" t="s">
        <v>118</v>
      </c>
      <c r="D13" s="250"/>
      <c r="E13" s="333">
        <v>0</v>
      </c>
      <c r="F13" s="230">
        <f t="shared" si="0"/>
        <v>0</v>
      </c>
      <c r="G13" s="232">
        <v>0</v>
      </c>
      <c r="H13" s="227" t="s">
        <v>117</v>
      </c>
      <c r="I13" s="228"/>
      <c r="K13" s="80">
        <v>439258507</v>
      </c>
      <c r="M13" s="48">
        <f>K16-K13</f>
        <v>741493</v>
      </c>
    </row>
    <row r="14" spans="1:13" ht="20.100000000000001" customHeight="1" x14ac:dyDescent="0.15">
      <c r="A14" s="248"/>
      <c r="B14" s="233"/>
      <c r="C14" s="234" t="s">
        <v>119</v>
      </c>
      <c r="D14" s="235"/>
      <c r="E14" s="330">
        <v>0</v>
      </c>
      <c r="F14" s="236">
        <f t="shared" si="0"/>
        <v>0</v>
      </c>
      <c r="G14" s="232">
        <v>0</v>
      </c>
      <c r="H14" s="227" t="s">
        <v>183</v>
      </c>
      <c r="I14" s="228"/>
      <c r="K14" s="80">
        <f>K13-K16</f>
        <v>-741493</v>
      </c>
      <c r="L14" s="48"/>
    </row>
    <row r="15" spans="1:13" ht="20.100000000000001" customHeight="1" x14ac:dyDescent="0.15">
      <c r="A15" s="248"/>
      <c r="B15" s="233"/>
      <c r="C15" s="234" t="s">
        <v>120</v>
      </c>
      <c r="D15" s="235">
        <v>368616944</v>
      </c>
      <c r="E15" s="330">
        <f>I16+I17</f>
        <v>370064348</v>
      </c>
      <c r="F15" s="236">
        <f t="shared" si="0"/>
        <v>1447404</v>
      </c>
      <c r="G15" s="251">
        <f t="shared" si="1"/>
        <v>100.39265802171047</v>
      </c>
      <c r="H15" s="238" t="s">
        <v>116</v>
      </c>
      <c r="I15" s="239"/>
    </row>
    <row r="16" spans="1:13" ht="20.100000000000001" customHeight="1" x14ac:dyDescent="0.15">
      <c r="A16" s="248"/>
      <c r="B16" s="233"/>
      <c r="C16" s="240"/>
      <c r="D16" s="241"/>
      <c r="E16" s="331"/>
      <c r="F16" s="242"/>
      <c r="G16" s="252"/>
      <c r="H16" s="244" t="s">
        <v>244</v>
      </c>
      <c r="I16" s="245">
        <f>87016087*4</f>
        <v>348064348</v>
      </c>
      <c r="J16" s="80"/>
      <c r="K16" s="80">
        <f>E6-K1</f>
        <v>440000000</v>
      </c>
      <c r="L16" s="65"/>
    </row>
    <row r="17" spans="1:12" ht="20.100000000000001" customHeight="1" x14ac:dyDescent="0.15">
      <c r="A17" s="248"/>
      <c r="B17" s="233"/>
      <c r="C17" s="240"/>
      <c r="D17" s="241"/>
      <c r="E17" s="331"/>
      <c r="F17" s="242"/>
      <c r="G17" s="251"/>
      <c r="H17" s="244" t="s">
        <v>181</v>
      </c>
      <c r="I17" s="245">
        <f>5500000*4</f>
        <v>22000000</v>
      </c>
      <c r="J17" s="80"/>
      <c r="L17" s="65"/>
    </row>
    <row r="18" spans="1:12" ht="20.100000000000001" customHeight="1" x14ac:dyDescent="0.15">
      <c r="A18" s="366" t="s">
        <v>33</v>
      </c>
      <c r="B18" s="367"/>
      <c r="C18" s="368"/>
      <c r="D18" s="246">
        <v>900000</v>
      </c>
      <c r="E18" s="332">
        <f>E19</f>
        <v>900000</v>
      </c>
      <c r="F18" s="226">
        <f t="shared" ref="F18:F30" si="2">E18-D18</f>
        <v>0</v>
      </c>
      <c r="G18" s="247">
        <v>0</v>
      </c>
      <c r="H18" s="227" t="s">
        <v>33</v>
      </c>
      <c r="I18" s="228"/>
      <c r="L18" s="48"/>
    </row>
    <row r="19" spans="1:12" ht="20.100000000000001" customHeight="1" x14ac:dyDescent="0.15">
      <c r="A19" s="248"/>
      <c r="B19" s="390" t="s">
        <v>33</v>
      </c>
      <c r="C19" s="368"/>
      <c r="D19" s="250">
        <v>900000</v>
      </c>
      <c r="E19" s="333">
        <f>SUM(E20:E22)</f>
        <v>900000</v>
      </c>
      <c r="F19" s="231">
        <f t="shared" si="2"/>
        <v>0</v>
      </c>
      <c r="G19" s="232">
        <v>0</v>
      </c>
      <c r="H19" s="227" t="s">
        <v>33</v>
      </c>
      <c r="I19" s="228"/>
      <c r="K19" s="80">
        <v>117549</v>
      </c>
      <c r="L19" s="48"/>
    </row>
    <row r="20" spans="1:12" ht="20.100000000000001" customHeight="1" x14ac:dyDescent="0.15">
      <c r="A20" s="248"/>
      <c r="B20" s="233"/>
      <c r="C20" s="249" t="s">
        <v>34</v>
      </c>
      <c r="D20" s="250"/>
      <c r="E20" s="333">
        <v>0</v>
      </c>
      <c r="F20" s="231">
        <f t="shared" si="2"/>
        <v>0</v>
      </c>
      <c r="G20" s="232">
        <v>0</v>
      </c>
      <c r="H20" s="227" t="s">
        <v>34</v>
      </c>
      <c r="I20" s="228"/>
      <c r="K20" s="80">
        <v>67956</v>
      </c>
      <c r="L20" s="48"/>
    </row>
    <row r="21" spans="1:12" ht="20.100000000000001" customHeight="1" x14ac:dyDescent="0.15">
      <c r="A21" s="248"/>
      <c r="B21" s="233"/>
      <c r="C21" s="234" t="s">
        <v>35</v>
      </c>
      <c r="D21" s="235">
        <v>900000</v>
      </c>
      <c r="E21" s="330">
        <f>I22</f>
        <v>900000</v>
      </c>
      <c r="F21" s="242">
        <f t="shared" si="2"/>
        <v>0</v>
      </c>
      <c r="G21" s="251">
        <v>0</v>
      </c>
      <c r="H21" s="238" t="s">
        <v>35</v>
      </c>
      <c r="I21" s="239"/>
      <c r="K21" s="80">
        <f>SUM(K19:K20)</f>
        <v>185505</v>
      </c>
      <c r="L21" s="48"/>
    </row>
    <row r="22" spans="1:12" ht="20.100000000000001" customHeight="1" x14ac:dyDescent="0.15">
      <c r="A22" s="248"/>
      <c r="B22" s="254"/>
      <c r="C22" s="249"/>
      <c r="D22" s="253"/>
      <c r="E22" s="334"/>
      <c r="F22" s="231"/>
      <c r="G22" s="255"/>
      <c r="H22" s="221" t="s">
        <v>194</v>
      </c>
      <c r="I22" s="256">
        <f>150000*6</f>
        <v>900000</v>
      </c>
      <c r="L22" s="65"/>
    </row>
    <row r="23" spans="1:12" ht="20.100000000000001" customHeight="1" x14ac:dyDescent="0.15">
      <c r="A23" s="366" t="s">
        <v>37</v>
      </c>
      <c r="B23" s="367"/>
      <c r="C23" s="368"/>
      <c r="D23" s="246">
        <v>3200000</v>
      </c>
      <c r="E23" s="332">
        <f>E24</f>
        <v>0</v>
      </c>
      <c r="F23" s="219">
        <f t="shared" si="2"/>
        <v>-3200000</v>
      </c>
      <c r="G23" s="232">
        <v>0</v>
      </c>
      <c r="H23" s="227" t="s">
        <v>37</v>
      </c>
      <c r="I23" s="228"/>
      <c r="L23" s="65"/>
    </row>
    <row r="24" spans="1:12" ht="20.100000000000001" customHeight="1" x14ac:dyDescent="0.15">
      <c r="A24" s="248"/>
      <c r="B24" s="390" t="s">
        <v>37</v>
      </c>
      <c r="C24" s="368"/>
      <c r="D24" s="250">
        <v>3200000</v>
      </c>
      <c r="E24" s="333">
        <f>E25</f>
        <v>0</v>
      </c>
      <c r="F24" s="231">
        <f t="shared" si="2"/>
        <v>-3200000</v>
      </c>
      <c r="G24" s="232">
        <v>0</v>
      </c>
      <c r="H24" s="227" t="s">
        <v>37</v>
      </c>
      <c r="I24" s="228"/>
      <c r="L24" s="48"/>
    </row>
    <row r="25" spans="1:12" ht="20.100000000000001" customHeight="1" x14ac:dyDescent="0.15">
      <c r="A25" s="340"/>
      <c r="B25" s="341"/>
      <c r="C25" s="342" t="s">
        <v>144</v>
      </c>
      <c r="D25" s="343">
        <v>3200000</v>
      </c>
      <c r="E25" s="344">
        <v>0</v>
      </c>
      <c r="F25" s="345">
        <f t="shared" si="2"/>
        <v>-3200000</v>
      </c>
      <c r="G25" s="346">
        <v>0</v>
      </c>
      <c r="H25" s="347" t="s">
        <v>148</v>
      </c>
      <c r="I25" s="348"/>
      <c r="L25" s="48"/>
    </row>
    <row r="26" spans="1:12" ht="20.100000000000001" customHeight="1" x14ac:dyDescent="0.15">
      <c r="A26" s="363" t="s">
        <v>24</v>
      </c>
      <c r="B26" s="364"/>
      <c r="C26" s="365"/>
      <c r="D26" s="349">
        <v>5498056</v>
      </c>
      <c r="E26" s="350">
        <f>E27</f>
        <v>8051289</v>
      </c>
      <c r="F26" s="349">
        <f t="shared" si="2"/>
        <v>2553233</v>
      </c>
      <c r="G26" s="351">
        <f t="shared" si="1"/>
        <v>146.43883219814421</v>
      </c>
      <c r="H26" s="352" t="s">
        <v>24</v>
      </c>
      <c r="I26" s="353"/>
      <c r="K26" s="105"/>
    </row>
    <row r="27" spans="1:12" ht="20.100000000000001" customHeight="1" x14ac:dyDescent="0.15">
      <c r="A27" s="300"/>
      <c r="B27" s="301" t="s">
        <v>24</v>
      </c>
      <c r="C27" s="261"/>
      <c r="D27" s="231">
        <v>5498056</v>
      </c>
      <c r="E27" s="335">
        <f>E28+E30</f>
        <v>8051289</v>
      </c>
      <c r="F27" s="231">
        <f t="shared" si="2"/>
        <v>2553233</v>
      </c>
      <c r="G27" s="232">
        <f t="shared" si="1"/>
        <v>146.43883219814421</v>
      </c>
      <c r="H27" s="221" t="s">
        <v>24</v>
      </c>
      <c r="I27" s="256"/>
    </row>
    <row r="28" spans="1:12" ht="20.100000000000001" customHeight="1" x14ac:dyDescent="0.15">
      <c r="A28" s="300"/>
      <c r="B28" s="262"/>
      <c r="C28" s="270" t="s">
        <v>96</v>
      </c>
      <c r="D28" s="242">
        <v>30100</v>
      </c>
      <c r="E28" s="336">
        <f>I29</f>
        <v>30100</v>
      </c>
      <c r="F28" s="242">
        <f t="shared" si="2"/>
        <v>0</v>
      </c>
      <c r="G28" s="252">
        <f t="shared" si="1"/>
        <v>100</v>
      </c>
      <c r="H28" s="244" t="s">
        <v>96</v>
      </c>
      <c r="I28" s="245"/>
    </row>
    <row r="29" spans="1:12" ht="20.100000000000001" customHeight="1" x14ac:dyDescent="0.15">
      <c r="A29" s="263"/>
      <c r="B29" s="262"/>
      <c r="C29" s="249"/>
      <c r="D29" s="231"/>
      <c r="E29" s="335"/>
      <c r="F29" s="231"/>
      <c r="G29" s="255"/>
      <c r="H29" s="244" t="s">
        <v>140</v>
      </c>
      <c r="I29" s="245">
        <f>15050*2</f>
        <v>30100</v>
      </c>
    </row>
    <row r="30" spans="1:12" ht="20.100000000000001" customHeight="1" x14ac:dyDescent="0.15">
      <c r="A30" s="263"/>
      <c r="B30" s="240"/>
      <c r="C30" s="234" t="s">
        <v>36</v>
      </c>
      <c r="D30" s="236">
        <v>5467956</v>
      </c>
      <c r="E30" s="337">
        <f>I31+I32+I33</f>
        <v>8021189</v>
      </c>
      <c r="F30" s="236">
        <f t="shared" si="2"/>
        <v>2553233</v>
      </c>
      <c r="G30" s="257">
        <f t="shared" si="1"/>
        <v>146.69446864605348</v>
      </c>
      <c r="H30" s="238" t="s">
        <v>36</v>
      </c>
      <c r="I30" s="239"/>
    </row>
    <row r="31" spans="1:12" ht="20.100000000000001" customHeight="1" x14ac:dyDescent="0.15">
      <c r="A31" s="263"/>
      <c r="B31" s="262"/>
      <c r="C31" s="240"/>
      <c r="D31" s="242"/>
      <c r="E31" s="336"/>
      <c r="F31" s="242"/>
      <c r="G31" s="252"/>
      <c r="H31" s="244" t="s">
        <v>272</v>
      </c>
      <c r="I31" s="245">
        <f>50000*10*12</f>
        <v>6000000</v>
      </c>
    </row>
    <row r="32" spans="1:12" ht="20.100000000000001" customHeight="1" x14ac:dyDescent="0.15">
      <c r="A32" s="263"/>
      <c r="B32" s="262"/>
      <c r="C32" s="240"/>
      <c r="D32" s="242"/>
      <c r="E32" s="336"/>
      <c r="F32" s="242"/>
      <c r="G32" s="252"/>
      <c r="H32" s="244" t="s">
        <v>189</v>
      </c>
      <c r="I32" s="245">
        <f>150000*12</f>
        <v>1800000</v>
      </c>
    </row>
    <row r="33" spans="1:9" ht="20.100000000000001" customHeight="1" x14ac:dyDescent="0.15">
      <c r="A33" s="263"/>
      <c r="B33" s="262"/>
      <c r="C33" s="240"/>
      <c r="D33" s="242"/>
      <c r="E33" s="336"/>
      <c r="F33" s="242"/>
      <c r="G33" s="252"/>
      <c r="H33" s="244" t="s">
        <v>274</v>
      </c>
      <c r="I33" s="245">
        <f>221189*1</f>
        <v>221189</v>
      </c>
    </row>
    <row r="34" spans="1:9" ht="20.100000000000001" customHeight="1" x14ac:dyDescent="0.15">
      <c r="A34" s="223" t="s">
        <v>21</v>
      </c>
      <c r="B34" s="224"/>
      <c r="C34" s="225"/>
      <c r="D34" s="226">
        <v>12000000</v>
      </c>
      <c r="E34" s="328">
        <f>E35</f>
        <v>13864363</v>
      </c>
      <c r="F34" s="226">
        <f>E34-D34</f>
        <v>1864363</v>
      </c>
      <c r="G34" s="264">
        <f t="shared" si="1"/>
        <v>115.53635833333334</v>
      </c>
      <c r="H34" s="227" t="s">
        <v>39</v>
      </c>
      <c r="I34" s="228"/>
    </row>
    <row r="35" spans="1:9" ht="20.100000000000001" customHeight="1" x14ac:dyDescent="0.15">
      <c r="A35" s="263"/>
      <c r="B35" s="229" t="s">
        <v>22</v>
      </c>
      <c r="C35" s="225"/>
      <c r="D35" s="230">
        <v>12000000</v>
      </c>
      <c r="E35" s="329">
        <f>E36</f>
        <v>13864363</v>
      </c>
      <c r="F35" s="231">
        <f t="shared" si="0"/>
        <v>1864363</v>
      </c>
      <c r="G35" s="232">
        <f t="shared" si="1"/>
        <v>115.53635833333334</v>
      </c>
      <c r="H35" s="227" t="s">
        <v>115</v>
      </c>
      <c r="I35" s="228"/>
    </row>
    <row r="36" spans="1:9" ht="20.100000000000001" customHeight="1" x14ac:dyDescent="0.15">
      <c r="A36" s="263"/>
      <c r="B36" s="265"/>
      <c r="C36" s="234" t="s">
        <v>23</v>
      </c>
      <c r="D36" s="236">
        <v>12000000</v>
      </c>
      <c r="E36" s="337">
        <f>I39+I38+I37</f>
        <v>13864363</v>
      </c>
      <c r="F36" s="242">
        <f t="shared" si="0"/>
        <v>1864363</v>
      </c>
      <c r="G36" s="251">
        <f t="shared" si="1"/>
        <v>115.53635833333334</v>
      </c>
      <c r="H36" s="238" t="s">
        <v>115</v>
      </c>
      <c r="I36" s="245"/>
    </row>
    <row r="37" spans="1:9" ht="20.100000000000001" customHeight="1" x14ac:dyDescent="0.15">
      <c r="A37" s="263"/>
      <c r="B37" s="262"/>
      <c r="C37" s="262"/>
      <c r="D37" s="242"/>
      <c r="E37" s="336"/>
      <c r="F37" s="242"/>
      <c r="G37" s="251"/>
      <c r="H37" s="293" t="s">
        <v>236</v>
      </c>
      <c r="I37" s="245">
        <f>12629613*1</f>
        <v>12629613</v>
      </c>
    </row>
    <row r="38" spans="1:9" ht="20.100000000000001" customHeight="1" x14ac:dyDescent="0.15">
      <c r="A38" s="263"/>
      <c r="B38" s="262"/>
      <c r="C38" s="262"/>
      <c r="D38" s="242"/>
      <c r="E38" s="336"/>
      <c r="F38" s="242"/>
      <c r="G38" s="252"/>
      <c r="H38" s="271" t="s">
        <v>237</v>
      </c>
      <c r="I38" s="245">
        <f>884739*1</f>
        <v>884739</v>
      </c>
    </row>
    <row r="39" spans="1:9" ht="20.100000000000001" customHeight="1" x14ac:dyDescent="0.15">
      <c r="A39" s="266"/>
      <c r="B39" s="258"/>
      <c r="C39" s="267"/>
      <c r="D39" s="259"/>
      <c r="E39" s="338"/>
      <c r="F39" s="259"/>
      <c r="G39" s="268"/>
      <c r="H39" s="269" t="s">
        <v>238</v>
      </c>
      <c r="I39" s="260">
        <f>350011*1</f>
        <v>350011</v>
      </c>
    </row>
    <row r="40" spans="1:9" x14ac:dyDescent="0.15">
      <c r="D40" s="109"/>
    </row>
  </sheetData>
  <customSheetViews>
    <customSheetView guid="{29BE6789-D580-482F-AE13-9E62D887C1AB}" showPageBreaks="1" printArea="1" view="pageBreakPreview" topLeftCell="B19">
      <selection activeCell="H143" sqref="H143"/>
      <rowBreaks count="1" manualBreakCount="1">
        <brk id="26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20">
    <mergeCell ref="A18:C18"/>
    <mergeCell ref="B19:C19"/>
    <mergeCell ref="A23:C23"/>
    <mergeCell ref="B24:C24"/>
    <mergeCell ref="A26:C26"/>
    <mergeCell ref="A11:C11"/>
    <mergeCell ref="A1:H1"/>
    <mergeCell ref="A3:C3"/>
    <mergeCell ref="H3:I3"/>
    <mergeCell ref="A4:C4"/>
    <mergeCell ref="D4:D5"/>
    <mergeCell ref="E4:E5"/>
    <mergeCell ref="F4:G4"/>
    <mergeCell ref="H4:I5"/>
    <mergeCell ref="A6:C6"/>
    <mergeCell ref="A7:C7"/>
    <mergeCell ref="A8:A10"/>
    <mergeCell ref="B8:C8"/>
    <mergeCell ref="B9:B10"/>
    <mergeCell ref="B12:C12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74" firstPageNumber="3" fitToWidth="0" fitToHeight="0" orientation="landscape" useFirstPageNumber="1" r:id="rId2"/>
  <headerFooter alignWithMargins="0">
    <oddFooter xml:space="preserve">&amp;R참좋은기억학교(2023.02.13.)
</oddFooter>
  </headerFooter>
  <rowBreaks count="1" manualBreakCount="1">
    <brk id="2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51"/>
  <sheetViews>
    <sheetView view="pageBreakPreview" zoomScale="98" zoomScaleNormal="100" zoomScaleSheetLayoutView="98" workbookViewId="0">
      <selection sqref="A1:H1"/>
    </sheetView>
  </sheetViews>
  <sheetFormatPr defaultRowHeight="13.5" x14ac:dyDescent="0.15"/>
  <cols>
    <col min="1" max="1" width="9.44140625" style="38" customWidth="1"/>
    <col min="2" max="2" width="10.21875" style="38" customWidth="1"/>
    <col min="3" max="3" width="12.6640625" style="38" customWidth="1"/>
    <col min="4" max="4" width="12.6640625" style="65" customWidth="1"/>
    <col min="5" max="5" width="13" style="324" customWidth="1"/>
    <col min="6" max="6" width="11.77734375" style="112" customWidth="1"/>
    <col min="7" max="7" width="10.109375" style="48" customWidth="1"/>
    <col min="8" max="8" width="40.33203125" style="38" customWidth="1"/>
    <col min="9" max="9" width="22.33203125" style="76" bestFit="1" customWidth="1"/>
    <col min="10" max="10" width="13" style="38" bestFit="1" customWidth="1"/>
    <col min="11" max="11" width="20.77734375" style="38" bestFit="1" customWidth="1"/>
    <col min="12" max="12" width="15" style="80" bestFit="1" customWidth="1"/>
    <col min="13" max="13" width="15.5546875" style="38" bestFit="1" customWidth="1"/>
    <col min="14" max="16384" width="8.88671875" style="38"/>
  </cols>
  <sheetData>
    <row r="1" spans="1:13" s="43" customFormat="1" ht="20.100000000000001" customHeight="1" x14ac:dyDescent="0.15">
      <c r="A1" s="369" t="s">
        <v>229</v>
      </c>
      <c r="B1" s="369"/>
      <c r="C1" s="369"/>
      <c r="D1" s="369"/>
      <c r="E1" s="369"/>
      <c r="F1" s="369"/>
      <c r="G1" s="369"/>
      <c r="H1" s="369"/>
      <c r="I1" s="118"/>
      <c r="L1" s="118"/>
    </row>
    <row r="2" spans="1:13" s="43" customFormat="1" ht="20.100000000000001" customHeight="1" x14ac:dyDescent="0.15">
      <c r="A2" s="113"/>
      <c r="B2" s="113"/>
      <c r="C2" s="114"/>
      <c r="D2" s="115"/>
      <c r="E2" s="314"/>
      <c r="F2" s="116"/>
      <c r="G2" s="117"/>
      <c r="I2" s="118"/>
      <c r="L2" s="118"/>
    </row>
    <row r="3" spans="1:13" s="43" customFormat="1" ht="20.100000000000001" customHeight="1" x14ac:dyDescent="0.15">
      <c r="A3" s="404" t="s">
        <v>128</v>
      </c>
      <c r="B3" s="404"/>
      <c r="C3" s="404"/>
      <c r="D3" s="115"/>
      <c r="E3" s="314"/>
      <c r="F3" s="116"/>
      <c r="G3" s="119"/>
      <c r="H3" s="401" t="s">
        <v>12</v>
      </c>
      <c r="I3" s="402"/>
      <c r="L3" s="118"/>
    </row>
    <row r="4" spans="1:13" s="43" customFormat="1" ht="20.100000000000001" customHeight="1" x14ac:dyDescent="0.15">
      <c r="A4" s="405" t="s">
        <v>13</v>
      </c>
      <c r="B4" s="394"/>
      <c r="C4" s="394"/>
      <c r="D4" s="377" t="s">
        <v>222</v>
      </c>
      <c r="E4" s="406" t="s">
        <v>223</v>
      </c>
      <c r="F4" s="394" t="s">
        <v>4</v>
      </c>
      <c r="G4" s="394"/>
      <c r="H4" s="395" t="s">
        <v>14</v>
      </c>
      <c r="I4" s="396"/>
      <c r="L4" s="118"/>
    </row>
    <row r="5" spans="1:13" s="43" customFormat="1" ht="24.75" customHeight="1" thickBot="1" x14ac:dyDescent="0.2">
      <c r="A5" s="120" t="s">
        <v>15</v>
      </c>
      <c r="B5" s="121" t="s">
        <v>16</v>
      </c>
      <c r="C5" s="121" t="s">
        <v>17</v>
      </c>
      <c r="D5" s="378"/>
      <c r="E5" s="407"/>
      <c r="F5" s="122" t="s">
        <v>18</v>
      </c>
      <c r="G5" s="123" t="s">
        <v>19</v>
      </c>
      <c r="H5" s="397"/>
      <c r="I5" s="398"/>
      <c r="J5" s="119"/>
      <c r="L5" s="118"/>
    </row>
    <row r="6" spans="1:13" s="43" customFormat="1" ht="20.100000000000001" customHeight="1" thickTop="1" x14ac:dyDescent="0.15">
      <c r="A6" s="399" t="s">
        <v>20</v>
      </c>
      <c r="B6" s="400"/>
      <c r="C6" s="400"/>
      <c r="D6" s="124">
        <v>437335000</v>
      </c>
      <c r="E6" s="315">
        <f>E7+E78+E87+E139</f>
        <v>440000000.47373056</v>
      </c>
      <c r="F6" s="125">
        <f>E6-D6</f>
        <v>2665000.4737305641</v>
      </c>
      <c r="G6" s="126">
        <f>E6/D6*100</f>
        <v>100.60937278601772</v>
      </c>
      <c r="H6" s="127"/>
      <c r="I6" s="128"/>
      <c r="J6" s="115"/>
      <c r="L6" s="118"/>
    </row>
    <row r="7" spans="1:13" s="43" customFormat="1" ht="20.100000000000001" customHeight="1" x14ac:dyDescent="0.15">
      <c r="A7" s="129" t="s">
        <v>25</v>
      </c>
      <c r="B7" s="130"/>
      <c r="C7" s="131"/>
      <c r="D7" s="132">
        <v>387900002</v>
      </c>
      <c r="E7" s="316">
        <f>E8+E47+E52</f>
        <v>391803548.47373056</v>
      </c>
      <c r="F7" s="133">
        <f t="shared" ref="F7:F143" si="0">E7-D7</f>
        <v>3903546.4737305641</v>
      </c>
      <c r="G7" s="126">
        <f>E7/D7*100</f>
        <v>101.00632803650529</v>
      </c>
      <c r="H7" s="134" t="s">
        <v>25</v>
      </c>
      <c r="I7" s="135"/>
      <c r="J7" s="115"/>
      <c r="L7" s="118"/>
      <c r="M7" s="136"/>
    </row>
    <row r="8" spans="1:13" s="43" customFormat="1" ht="20.25" customHeight="1" x14ac:dyDescent="0.15">
      <c r="A8" s="137"/>
      <c r="B8" s="138" t="s">
        <v>26</v>
      </c>
      <c r="C8" s="131"/>
      <c r="D8" s="139">
        <v>347816002</v>
      </c>
      <c r="E8" s="317">
        <f>E9+E26+E35+E37+E43</f>
        <v>348064348.47373056</v>
      </c>
      <c r="F8" s="140">
        <f t="shared" si="0"/>
        <v>248346.47373056412</v>
      </c>
      <c r="G8" s="141">
        <f t="shared" ref="G8:G9" si="1">E8/D8*100</f>
        <v>100.07140168143573</v>
      </c>
      <c r="H8" s="142" t="s">
        <v>26</v>
      </c>
      <c r="I8" s="135"/>
      <c r="L8" s="118"/>
    </row>
    <row r="9" spans="1:13" s="43" customFormat="1" ht="20.100000000000001" customHeight="1" x14ac:dyDescent="0.15">
      <c r="A9" s="137"/>
      <c r="B9" s="143"/>
      <c r="C9" s="144" t="s">
        <v>40</v>
      </c>
      <c r="D9" s="145">
        <v>257430200</v>
      </c>
      <c r="E9" s="318">
        <f>I9</f>
        <v>256254900</v>
      </c>
      <c r="F9" s="146">
        <f>E9-D9</f>
        <v>-1175300</v>
      </c>
      <c r="G9" s="147">
        <f t="shared" si="1"/>
        <v>99.543449059201293</v>
      </c>
      <c r="H9" s="148" t="s">
        <v>41</v>
      </c>
      <c r="I9" s="149">
        <f>SUM(I10:I25)</f>
        <v>256254900</v>
      </c>
      <c r="J9" s="118"/>
      <c r="K9" s="115"/>
      <c r="L9" s="118"/>
    </row>
    <row r="10" spans="1:13" s="43" customFormat="1" ht="20.100000000000001" customHeight="1" x14ac:dyDescent="0.15">
      <c r="A10" s="137"/>
      <c r="B10" s="143"/>
      <c r="C10" s="143"/>
      <c r="D10" s="150"/>
      <c r="E10" s="319"/>
      <c r="F10" s="152"/>
      <c r="G10" s="153"/>
      <c r="H10" s="154" t="s">
        <v>198</v>
      </c>
      <c r="I10" s="128">
        <f>3581900*1</f>
        <v>3581900</v>
      </c>
      <c r="J10" s="115"/>
      <c r="K10" s="115"/>
      <c r="L10" s="118"/>
    </row>
    <row r="11" spans="1:13" s="43" customFormat="1" ht="20.100000000000001" customHeight="1" x14ac:dyDescent="0.15">
      <c r="A11" s="137"/>
      <c r="B11" s="143"/>
      <c r="C11" s="143"/>
      <c r="D11" s="150"/>
      <c r="E11" s="319"/>
      <c r="F11" s="152"/>
      <c r="G11" s="153"/>
      <c r="H11" s="154" t="s">
        <v>199</v>
      </c>
      <c r="I11" s="128">
        <f>3655700*11</f>
        <v>40212700</v>
      </c>
      <c r="J11" s="119"/>
      <c r="L11" s="118"/>
    </row>
    <row r="12" spans="1:13" s="43" customFormat="1" ht="20.100000000000001" customHeight="1" x14ac:dyDescent="0.15">
      <c r="A12" s="137"/>
      <c r="B12" s="143"/>
      <c r="C12" s="143"/>
      <c r="D12" s="150"/>
      <c r="E12" s="319"/>
      <c r="F12" s="152"/>
      <c r="G12" s="153"/>
      <c r="H12" s="154" t="s">
        <v>200</v>
      </c>
      <c r="I12" s="128">
        <f>2770100*1</f>
        <v>2770100</v>
      </c>
      <c r="J12" s="119"/>
      <c r="L12" s="118"/>
    </row>
    <row r="13" spans="1:13" s="43" customFormat="1" ht="20.100000000000001" customHeight="1" x14ac:dyDescent="0.15">
      <c r="A13" s="137"/>
      <c r="B13" s="143"/>
      <c r="C13" s="143"/>
      <c r="D13" s="150"/>
      <c r="E13" s="319"/>
      <c r="F13" s="152"/>
      <c r="G13" s="153"/>
      <c r="H13" s="154" t="s">
        <v>201</v>
      </c>
      <c r="I13" s="128">
        <f>2861500*11</f>
        <v>31476500</v>
      </c>
      <c r="J13" s="119"/>
      <c r="L13" s="118"/>
    </row>
    <row r="14" spans="1:13" s="43" customFormat="1" ht="20.100000000000001" customHeight="1" x14ac:dyDescent="0.15">
      <c r="A14" s="137"/>
      <c r="B14" s="143"/>
      <c r="C14" s="143"/>
      <c r="D14" s="150"/>
      <c r="E14" s="319"/>
      <c r="F14" s="152"/>
      <c r="G14" s="153"/>
      <c r="H14" s="154" t="s">
        <v>202</v>
      </c>
      <c r="I14" s="128">
        <f>2505300*9</f>
        <v>22547700</v>
      </c>
      <c r="J14" s="119"/>
      <c r="L14" s="118"/>
    </row>
    <row r="15" spans="1:13" s="43" customFormat="1" ht="20.100000000000001" customHeight="1" x14ac:dyDescent="0.15">
      <c r="A15" s="137"/>
      <c r="B15" s="143"/>
      <c r="C15" s="143"/>
      <c r="D15" s="150"/>
      <c r="E15" s="319"/>
      <c r="F15" s="152"/>
      <c r="G15" s="153"/>
      <c r="H15" s="154" t="s">
        <v>203</v>
      </c>
      <c r="I15" s="128">
        <f>2595000*3</f>
        <v>7785000</v>
      </c>
      <c r="J15" s="119"/>
      <c r="L15" s="118"/>
    </row>
    <row r="16" spans="1:13" s="43" customFormat="1" ht="20.100000000000001" customHeight="1" x14ac:dyDescent="0.15">
      <c r="A16" s="137"/>
      <c r="B16" s="143"/>
      <c r="C16" s="143"/>
      <c r="D16" s="150"/>
      <c r="E16" s="319"/>
      <c r="F16" s="152"/>
      <c r="G16" s="153"/>
      <c r="H16" s="154" t="s">
        <v>204</v>
      </c>
      <c r="I16" s="128">
        <f>2151100*10</f>
        <v>21511000</v>
      </c>
      <c r="J16" s="119"/>
      <c r="L16" s="118"/>
    </row>
    <row r="17" spans="1:12" s="43" customFormat="1" ht="20.100000000000001" customHeight="1" x14ac:dyDescent="0.15">
      <c r="A17" s="137"/>
      <c r="B17" s="143"/>
      <c r="C17" s="155"/>
      <c r="D17" s="150"/>
      <c r="E17" s="319"/>
      <c r="F17" s="152"/>
      <c r="G17" s="153"/>
      <c r="H17" s="154" t="s">
        <v>205</v>
      </c>
      <c r="I17" s="128">
        <f>2206900*2</f>
        <v>4413800</v>
      </c>
      <c r="J17" s="119"/>
      <c r="L17" s="118"/>
    </row>
    <row r="18" spans="1:12" s="43" customFormat="1" ht="20.100000000000001" customHeight="1" x14ac:dyDescent="0.15">
      <c r="A18" s="137"/>
      <c r="B18" s="143"/>
      <c r="C18" s="143"/>
      <c r="D18" s="150"/>
      <c r="E18" s="319"/>
      <c r="F18" s="152"/>
      <c r="G18" s="153"/>
      <c r="H18" s="154" t="s">
        <v>234</v>
      </c>
      <c r="I18" s="128">
        <f>2112400*2</f>
        <v>4224800</v>
      </c>
      <c r="J18" s="119"/>
      <c r="L18" s="118"/>
    </row>
    <row r="19" spans="1:12" s="43" customFormat="1" ht="20.100000000000001" customHeight="1" x14ac:dyDescent="0.15">
      <c r="A19" s="137"/>
      <c r="B19" s="143"/>
      <c r="C19" s="143"/>
      <c r="D19" s="150"/>
      <c r="E19" s="319"/>
      <c r="F19" s="152"/>
      <c r="G19" s="153"/>
      <c r="H19" s="154" t="s">
        <v>235</v>
      </c>
      <c r="I19" s="128">
        <f>2151100*10</f>
        <v>21511000</v>
      </c>
      <c r="J19" s="119"/>
      <c r="L19" s="118"/>
    </row>
    <row r="20" spans="1:12" s="43" customFormat="1" ht="20.100000000000001" customHeight="1" x14ac:dyDescent="0.15">
      <c r="A20" s="137"/>
      <c r="B20" s="143"/>
      <c r="C20" s="143"/>
      <c r="D20" s="150"/>
      <c r="E20" s="319"/>
      <c r="F20" s="152"/>
      <c r="G20" s="156"/>
      <c r="H20" s="154" t="s">
        <v>206</v>
      </c>
      <c r="I20" s="128">
        <f>2265300*9</f>
        <v>20387700</v>
      </c>
      <c r="J20" s="119"/>
      <c r="L20" s="118"/>
    </row>
    <row r="21" spans="1:12" s="43" customFormat="1" ht="20.100000000000001" customHeight="1" x14ac:dyDescent="0.15">
      <c r="A21" s="137"/>
      <c r="B21" s="143"/>
      <c r="C21" s="143"/>
      <c r="D21" s="150"/>
      <c r="E21" s="319"/>
      <c r="F21" s="152"/>
      <c r="G21" s="153"/>
      <c r="H21" s="154" t="s">
        <v>207</v>
      </c>
      <c r="I21" s="128">
        <f>2323300*3</f>
        <v>6969900</v>
      </c>
      <c r="J21" s="119"/>
      <c r="L21" s="118"/>
    </row>
    <row r="22" spans="1:12" s="43" customFormat="1" ht="20.100000000000001" customHeight="1" x14ac:dyDescent="0.15">
      <c r="A22" s="137"/>
      <c r="B22" s="143"/>
      <c r="C22" s="143"/>
      <c r="D22" s="150"/>
      <c r="E22" s="319"/>
      <c r="F22" s="152"/>
      <c r="G22" s="153"/>
      <c r="H22" s="154" t="s">
        <v>208</v>
      </c>
      <c r="I22" s="128">
        <f>2091800*8</f>
        <v>16734400</v>
      </c>
      <c r="J22" s="119"/>
      <c r="L22" s="118"/>
    </row>
    <row r="23" spans="1:12" s="43" customFormat="1" ht="20.100000000000001" customHeight="1" x14ac:dyDescent="0.15">
      <c r="A23" s="137"/>
      <c r="B23" s="143"/>
      <c r="C23" s="143"/>
      <c r="D23" s="150"/>
      <c r="E23" s="319"/>
      <c r="F23" s="152"/>
      <c r="G23" s="153"/>
      <c r="H23" s="154" t="s">
        <v>209</v>
      </c>
      <c r="I23" s="128">
        <f>2127100*4</f>
        <v>8508400</v>
      </c>
      <c r="J23" s="119"/>
      <c r="L23" s="118"/>
    </row>
    <row r="24" spans="1:12" s="43" customFormat="1" ht="20.100000000000001" customHeight="1" x14ac:dyDescent="0.15">
      <c r="A24" s="137"/>
      <c r="B24" s="143"/>
      <c r="C24" s="143"/>
      <c r="D24" s="150"/>
      <c r="E24" s="319"/>
      <c r="F24" s="152"/>
      <c r="G24" s="153"/>
      <c r="H24" s="154" t="s">
        <v>170</v>
      </c>
      <c r="I24" s="128">
        <f>2065000*12*1</f>
        <v>24780000</v>
      </c>
      <c r="J24" s="119"/>
      <c r="L24" s="118"/>
    </row>
    <row r="25" spans="1:12" s="43" customFormat="1" ht="20.100000000000001" customHeight="1" x14ac:dyDescent="0.15">
      <c r="A25" s="157"/>
      <c r="B25" s="158"/>
      <c r="C25" s="158"/>
      <c r="D25" s="159"/>
      <c r="E25" s="320"/>
      <c r="F25" s="161"/>
      <c r="G25" s="162"/>
      <c r="H25" s="163" t="s">
        <v>171</v>
      </c>
      <c r="I25" s="164">
        <f>1570000*12*1</f>
        <v>18840000</v>
      </c>
      <c r="J25" s="119"/>
      <c r="L25" s="118"/>
    </row>
    <row r="26" spans="1:12" s="43" customFormat="1" ht="20.100000000000001" customHeight="1" x14ac:dyDescent="0.15">
      <c r="A26" s="137"/>
      <c r="B26" s="143"/>
      <c r="C26" s="143" t="s">
        <v>42</v>
      </c>
      <c r="D26" s="150">
        <v>34739468</v>
      </c>
      <c r="E26" s="319">
        <f>I28+I30+I32+I34</f>
        <v>35437070</v>
      </c>
      <c r="F26" s="151">
        <f>E26-D26</f>
        <v>697602</v>
      </c>
      <c r="G26" s="165">
        <f>E26/D26*100</f>
        <v>102.00809638190198</v>
      </c>
      <c r="H26" s="154" t="s">
        <v>42</v>
      </c>
      <c r="I26" s="128"/>
      <c r="K26" s="115"/>
      <c r="L26" s="118"/>
    </row>
    <row r="27" spans="1:12" s="43" customFormat="1" ht="20.100000000000001" customHeight="1" x14ac:dyDescent="0.15">
      <c r="A27" s="166"/>
      <c r="B27" s="143"/>
      <c r="C27" s="143"/>
      <c r="D27" s="150"/>
      <c r="E27" s="319"/>
      <c r="F27" s="152"/>
      <c r="G27" s="153"/>
      <c r="H27" s="154" t="s">
        <v>212</v>
      </c>
      <c r="I27" s="128"/>
      <c r="L27" s="118"/>
    </row>
    <row r="28" spans="1:12" s="43" customFormat="1" ht="20.100000000000001" customHeight="1" x14ac:dyDescent="0.15">
      <c r="A28" s="137"/>
      <c r="B28" s="143"/>
      <c r="C28" s="143"/>
      <c r="D28" s="150"/>
      <c r="E28" s="319"/>
      <c r="F28" s="152"/>
      <c r="G28" s="153"/>
      <c r="H28" s="167" t="s">
        <v>239</v>
      </c>
      <c r="I28" s="128">
        <f>11892460*2</f>
        <v>23784920</v>
      </c>
      <c r="J28" s="43">
        <f>11793790+11991130</f>
        <v>23784920</v>
      </c>
      <c r="L28" s="118"/>
    </row>
    <row r="29" spans="1:12" s="43" customFormat="1" ht="20.100000000000001" customHeight="1" x14ac:dyDescent="0.15">
      <c r="A29" s="166"/>
      <c r="B29" s="143"/>
      <c r="C29" s="143"/>
      <c r="D29" s="150"/>
      <c r="E29" s="319"/>
      <c r="F29" s="152"/>
      <c r="G29" s="153"/>
      <c r="H29" s="154" t="s">
        <v>211</v>
      </c>
      <c r="I29" s="128"/>
      <c r="L29" s="118" t="s">
        <v>219</v>
      </c>
    </row>
    <row r="30" spans="1:12" s="43" customFormat="1" ht="19.5" customHeight="1" x14ac:dyDescent="0.15">
      <c r="A30" s="137"/>
      <c r="B30" s="143"/>
      <c r="C30" s="143"/>
      <c r="D30" s="150"/>
      <c r="E30" s="319"/>
      <c r="F30" s="152"/>
      <c r="G30" s="153"/>
      <c r="H30" s="154" t="s">
        <v>210</v>
      </c>
      <c r="I30" s="128">
        <f>720000*4</f>
        <v>2880000</v>
      </c>
      <c r="L30" s="118" t="s">
        <v>220</v>
      </c>
    </row>
    <row r="31" spans="1:12" s="43" customFormat="1" ht="20.100000000000001" customHeight="1" x14ac:dyDescent="0.15">
      <c r="A31" s="137"/>
      <c r="B31" s="143"/>
      <c r="C31" s="143"/>
      <c r="D31" s="150"/>
      <c r="E31" s="319"/>
      <c r="F31" s="152"/>
      <c r="G31" s="168"/>
      <c r="H31" s="154" t="s">
        <v>240</v>
      </c>
      <c r="I31" s="128"/>
      <c r="L31" s="118" t="s">
        <v>221</v>
      </c>
    </row>
    <row r="32" spans="1:12" s="43" customFormat="1" ht="20.100000000000001" customHeight="1" x14ac:dyDescent="0.15">
      <c r="A32" s="137"/>
      <c r="B32" s="143"/>
      <c r="C32" s="143"/>
      <c r="D32" s="150"/>
      <c r="E32" s="319"/>
      <c r="F32" s="152"/>
      <c r="G32" s="153"/>
      <c r="H32" s="154" t="s">
        <v>182</v>
      </c>
      <c r="I32" s="128">
        <f>6972150*1</f>
        <v>6972150</v>
      </c>
      <c r="J32" s="119">
        <v>6972150</v>
      </c>
      <c r="L32" s="118"/>
    </row>
    <row r="33" spans="1:13" s="43" customFormat="1" ht="20.100000000000001" customHeight="1" x14ac:dyDescent="0.15">
      <c r="A33" s="137"/>
      <c r="B33" s="143"/>
      <c r="C33" s="143"/>
      <c r="D33" s="150"/>
      <c r="E33" s="319"/>
      <c r="F33" s="152"/>
      <c r="G33" s="153"/>
      <c r="H33" s="154" t="s">
        <v>151</v>
      </c>
      <c r="I33" s="128"/>
      <c r="J33" s="118"/>
      <c r="L33" s="118"/>
    </row>
    <row r="34" spans="1:13" s="43" customFormat="1" ht="20.100000000000001" customHeight="1" x14ac:dyDescent="0.15">
      <c r="A34" s="137"/>
      <c r="B34" s="143"/>
      <c r="C34" s="143"/>
      <c r="D34" s="169"/>
      <c r="E34" s="319"/>
      <c r="F34" s="152"/>
      <c r="G34" s="153"/>
      <c r="H34" s="154" t="s">
        <v>149</v>
      </c>
      <c r="I34" s="128">
        <f>100000*6*3</f>
        <v>1800000</v>
      </c>
      <c r="J34" s="115"/>
      <c r="K34" s="118"/>
      <c r="L34" s="118"/>
    </row>
    <row r="35" spans="1:13" s="43" customFormat="1" ht="20.100000000000001" customHeight="1" x14ac:dyDescent="0.15">
      <c r="A35" s="137"/>
      <c r="B35" s="143"/>
      <c r="C35" s="170" t="s">
        <v>70</v>
      </c>
      <c r="D35" s="145">
        <v>24005510</v>
      </c>
      <c r="E35" s="318">
        <f>I36</f>
        <v>24280594.166666668</v>
      </c>
      <c r="F35" s="146">
        <f>E35-D35</f>
        <v>275084.16666666791</v>
      </c>
      <c r="G35" s="147">
        <f>E35/D35*100</f>
        <v>101.14592094342785</v>
      </c>
      <c r="H35" s="171" t="s">
        <v>70</v>
      </c>
      <c r="I35" s="172"/>
      <c r="L35" s="118"/>
    </row>
    <row r="36" spans="1:13" s="43" customFormat="1" ht="20.100000000000001" customHeight="1" x14ac:dyDescent="0.15">
      <c r="A36" s="137"/>
      <c r="B36" s="143"/>
      <c r="C36" s="143"/>
      <c r="D36" s="150"/>
      <c r="E36" s="319"/>
      <c r="F36" s="152"/>
      <c r="G36" s="173"/>
      <c r="H36" s="154" t="s">
        <v>213</v>
      </c>
      <c r="I36" s="174">
        <f>291367130/12</f>
        <v>24280594.166666668</v>
      </c>
      <c r="K36" s="119">
        <f>E9+E26</f>
        <v>291691970</v>
      </c>
      <c r="L36" s="118"/>
    </row>
    <row r="37" spans="1:13" s="43" customFormat="1" ht="20.100000000000001" customHeight="1" x14ac:dyDescent="0.15">
      <c r="A37" s="137"/>
      <c r="B37" s="143"/>
      <c r="C37" s="234" t="s">
        <v>43</v>
      </c>
      <c r="D37" s="145">
        <v>29300824</v>
      </c>
      <c r="E37" s="318">
        <f>SUM(I38:I42)</f>
        <v>29751784.307063852</v>
      </c>
      <c r="F37" s="146">
        <f>E37-D37</f>
        <v>450960.30706385151</v>
      </c>
      <c r="G37" s="147">
        <f>E37/D37*100</f>
        <v>101.53907039291403</v>
      </c>
      <c r="H37" s="171" t="s">
        <v>44</v>
      </c>
      <c r="I37" s="128"/>
      <c r="K37" s="119"/>
      <c r="L37" s="118"/>
    </row>
    <row r="38" spans="1:13" s="43" customFormat="1" ht="20.100000000000001" customHeight="1" x14ac:dyDescent="0.15">
      <c r="A38" s="137"/>
      <c r="B38" s="143"/>
      <c r="C38" s="143"/>
      <c r="D38" s="150"/>
      <c r="E38" s="319"/>
      <c r="F38" s="152"/>
      <c r="G38" s="153"/>
      <c r="H38" s="175" t="s">
        <v>214</v>
      </c>
      <c r="I38" s="128">
        <f>291367130*4.5%-1</f>
        <v>13111519.85</v>
      </c>
      <c r="J38" s="115">
        <f>E9+E26</f>
        <v>291691970</v>
      </c>
      <c r="K38" s="119"/>
      <c r="L38" s="118"/>
    </row>
    <row r="39" spans="1:13" s="43" customFormat="1" ht="20.100000000000001" customHeight="1" x14ac:dyDescent="0.15">
      <c r="A39" s="137"/>
      <c r="B39" s="143"/>
      <c r="C39" s="176"/>
      <c r="D39" s="177"/>
      <c r="E39" s="319"/>
      <c r="F39" s="152"/>
      <c r="G39" s="153"/>
      <c r="H39" s="167" t="s">
        <v>215</v>
      </c>
      <c r="I39" s="128">
        <f>291367130*3.545%</f>
        <v>10328964.7585</v>
      </c>
      <c r="K39" s="119"/>
      <c r="L39" s="118"/>
      <c r="M39" s="43">
        <f>3600000*12</f>
        <v>43200000</v>
      </c>
    </row>
    <row r="40" spans="1:13" s="43" customFormat="1" ht="20.100000000000001" customHeight="1" x14ac:dyDescent="0.15">
      <c r="A40" s="137"/>
      <c r="B40" s="143"/>
      <c r="C40" s="143"/>
      <c r="D40" s="150"/>
      <c r="E40" s="319"/>
      <c r="F40" s="152"/>
      <c r="G40" s="153"/>
      <c r="H40" s="154" t="s">
        <v>216</v>
      </c>
      <c r="I40" s="128">
        <f>I39*12.81%</f>
        <v>1323140.3855638499</v>
      </c>
      <c r="J40" s="119"/>
      <c r="K40" s="119"/>
      <c r="L40" s="118"/>
      <c r="M40" s="43">
        <f>291367130-43200000</f>
        <v>248167130</v>
      </c>
    </row>
    <row r="41" spans="1:13" s="43" customFormat="1" ht="20.100000000000001" customHeight="1" x14ac:dyDescent="0.15">
      <c r="A41" s="137"/>
      <c r="B41" s="143"/>
      <c r="C41" s="143"/>
      <c r="D41" s="150"/>
      <c r="E41" s="319"/>
      <c r="F41" s="152"/>
      <c r="G41" s="153"/>
      <c r="H41" s="154" t="s">
        <v>217</v>
      </c>
      <c r="I41" s="128">
        <f>248167130*1.25%</f>
        <v>3102089.125</v>
      </c>
      <c r="J41" s="118">
        <f>J38-I10-I11</f>
        <v>247897370</v>
      </c>
      <c r="L41" s="118"/>
    </row>
    <row r="42" spans="1:13" s="43" customFormat="1" ht="20.100000000000001" customHeight="1" x14ac:dyDescent="0.15">
      <c r="A42" s="137"/>
      <c r="B42" s="143"/>
      <c r="C42" s="143"/>
      <c r="D42" s="169"/>
      <c r="E42" s="319"/>
      <c r="F42" s="152"/>
      <c r="G42" s="153"/>
      <c r="H42" s="154" t="s">
        <v>218</v>
      </c>
      <c r="I42" s="128">
        <f>248167130*0.76%</f>
        <v>1886070.1880000001</v>
      </c>
      <c r="J42" s="272"/>
      <c r="L42" s="118"/>
    </row>
    <row r="43" spans="1:13" s="43" customFormat="1" ht="20.100000000000001" customHeight="1" x14ac:dyDescent="0.15">
      <c r="A43" s="137"/>
      <c r="B43" s="143"/>
      <c r="C43" s="144" t="s">
        <v>45</v>
      </c>
      <c r="D43" s="145">
        <f>'[1]결산추경예산내역-세출'!$E$46</f>
        <v>2340000</v>
      </c>
      <c r="E43" s="318">
        <f>I44+I46+I45</f>
        <v>2340000</v>
      </c>
      <c r="F43" s="146">
        <f>E43-D43</f>
        <v>0</v>
      </c>
      <c r="G43" s="147">
        <f>E43/D43*100</f>
        <v>100</v>
      </c>
      <c r="H43" s="171" t="s">
        <v>45</v>
      </c>
      <c r="I43" s="172"/>
      <c r="L43" s="118"/>
    </row>
    <row r="44" spans="1:13" s="43" customFormat="1" ht="20.100000000000001" customHeight="1" x14ac:dyDescent="0.15">
      <c r="A44" s="137"/>
      <c r="B44" s="143"/>
      <c r="C44" s="143"/>
      <c r="D44" s="150"/>
      <c r="E44" s="319"/>
      <c r="F44" s="152"/>
      <c r="G44" s="153"/>
      <c r="H44" s="154" t="s">
        <v>130</v>
      </c>
      <c r="I44" s="128">
        <f>1850000*1</f>
        <v>1850000</v>
      </c>
      <c r="L44" s="118"/>
    </row>
    <row r="45" spans="1:13" s="43" customFormat="1" ht="20.100000000000001" customHeight="1" x14ac:dyDescent="0.15">
      <c r="A45" s="137"/>
      <c r="B45" s="143"/>
      <c r="C45" s="143"/>
      <c r="D45" s="150"/>
      <c r="E45" s="319"/>
      <c r="F45" s="152"/>
      <c r="G45" s="153"/>
      <c r="H45" s="167" t="s">
        <v>131</v>
      </c>
      <c r="I45" s="128">
        <f>90000*1</f>
        <v>90000</v>
      </c>
      <c r="L45" s="118"/>
    </row>
    <row r="46" spans="1:13" s="43" customFormat="1" ht="19.5" customHeight="1" x14ac:dyDescent="0.15">
      <c r="A46" s="137"/>
      <c r="B46" s="143"/>
      <c r="C46" s="178"/>
      <c r="D46" s="169"/>
      <c r="E46" s="319"/>
      <c r="F46" s="179"/>
      <c r="G46" s="173"/>
      <c r="H46" s="167" t="s">
        <v>132</v>
      </c>
      <c r="I46" s="128">
        <f>200000*2</f>
        <v>400000</v>
      </c>
      <c r="L46" s="118"/>
    </row>
    <row r="47" spans="1:13" s="43" customFormat="1" ht="20.100000000000001" customHeight="1" x14ac:dyDescent="0.15">
      <c r="A47" s="166"/>
      <c r="B47" s="138" t="s">
        <v>46</v>
      </c>
      <c r="C47" s="180"/>
      <c r="D47" s="169">
        <f>D48+D50</f>
        <v>1440000</v>
      </c>
      <c r="E47" s="317">
        <f>E48+E50</f>
        <v>1440000</v>
      </c>
      <c r="F47" s="181">
        <f t="shared" ref="F47:F50" si="2">E47-D47</f>
        <v>0</v>
      </c>
      <c r="G47" s="141">
        <f>E47/D47*100</f>
        <v>100</v>
      </c>
      <c r="H47" s="182" t="s">
        <v>46</v>
      </c>
      <c r="I47" s="135"/>
      <c r="L47" s="118"/>
    </row>
    <row r="48" spans="1:13" s="43" customFormat="1" ht="20.100000000000001" customHeight="1" x14ac:dyDescent="0.15">
      <c r="A48" s="137"/>
      <c r="B48" s="143"/>
      <c r="C48" s="183" t="s">
        <v>47</v>
      </c>
      <c r="D48" s="145">
        <v>840000</v>
      </c>
      <c r="E48" s="318">
        <f>I49</f>
        <v>840000</v>
      </c>
      <c r="F48" s="146">
        <f t="shared" si="2"/>
        <v>0</v>
      </c>
      <c r="G48" s="184">
        <f t="shared" ref="G48:G55" si="3">E48/D48*100</f>
        <v>100</v>
      </c>
      <c r="H48" s="171" t="s">
        <v>47</v>
      </c>
      <c r="I48" s="172"/>
      <c r="L48" s="118"/>
    </row>
    <row r="49" spans="1:12" s="43" customFormat="1" ht="20.100000000000001" customHeight="1" x14ac:dyDescent="0.15">
      <c r="A49" s="137"/>
      <c r="B49" s="143"/>
      <c r="C49" s="178"/>
      <c r="D49" s="169"/>
      <c r="E49" s="321"/>
      <c r="F49" s="181"/>
      <c r="G49" s="141"/>
      <c r="H49" s="185" t="s">
        <v>197</v>
      </c>
      <c r="I49" s="174">
        <f>210000*4</f>
        <v>840000</v>
      </c>
      <c r="L49" s="118"/>
    </row>
    <row r="50" spans="1:12" s="43" customFormat="1" ht="20.100000000000001" customHeight="1" x14ac:dyDescent="0.15">
      <c r="A50" s="137"/>
      <c r="B50" s="143"/>
      <c r="C50" s="183" t="s">
        <v>48</v>
      </c>
      <c r="D50" s="145">
        <v>600000</v>
      </c>
      <c r="E50" s="318">
        <f>I51</f>
        <v>600000</v>
      </c>
      <c r="F50" s="146">
        <f t="shared" si="2"/>
        <v>0</v>
      </c>
      <c r="G50" s="184">
        <f t="shared" si="3"/>
        <v>100</v>
      </c>
      <c r="H50" s="171" t="s">
        <v>48</v>
      </c>
      <c r="I50" s="172"/>
      <c r="L50" s="118"/>
    </row>
    <row r="51" spans="1:12" s="188" customFormat="1" ht="20.100000000000001" customHeight="1" x14ac:dyDescent="0.15">
      <c r="A51" s="157"/>
      <c r="B51" s="186"/>
      <c r="C51" s="158"/>
      <c r="D51" s="159"/>
      <c r="E51" s="320"/>
      <c r="F51" s="160"/>
      <c r="G51" s="187"/>
      <c r="H51" s="163" t="s">
        <v>190</v>
      </c>
      <c r="I51" s="164">
        <f>150000*4</f>
        <v>600000</v>
      </c>
      <c r="L51" s="189"/>
    </row>
    <row r="52" spans="1:12" s="43" customFormat="1" ht="20.100000000000001" customHeight="1" x14ac:dyDescent="0.15">
      <c r="A52" s="166"/>
      <c r="B52" s="190" t="s">
        <v>49</v>
      </c>
      <c r="C52" s="180"/>
      <c r="D52" s="181">
        <v>38644000</v>
      </c>
      <c r="E52" s="321">
        <f>E53+E55+E62+E65+E71+E74</f>
        <v>42299200</v>
      </c>
      <c r="F52" s="181">
        <f t="shared" ref="F52:F55" si="4">E52-D52</f>
        <v>3655200</v>
      </c>
      <c r="G52" s="141">
        <f t="shared" si="3"/>
        <v>109.45864817306696</v>
      </c>
      <c r="H52" s="185" t="s">
        <v>49</v>
      </c>
      <c r="I52" s="174"/>
      <c r="L52" s="118"/>
    </row>
    <row r="53" spans="1:12" s="43" customFormat="1" ht="20.100000000000001" customHeight="1" x14ac:dyDescent="0.15">
      <c r="A53" s="137"/>
      <c r="B53" s="143"/>
      <c r="C53" s="144" t="s">
        <v>50</v>
      </c>
      <c r="D53" s="145">
        <f>'[1]결산추경예산내역-세출'!$E$56</f>
        <v>400000</v>
      </c>
      <c r="E53" s="318">
        <f>I54</f>
        <v>400000</v>
      </c>
      <c r="F53" s="146">
        <f t="shared" si="4"/>
        <v>0</v>
      </c>
      <c r="G53" s="147">
        <f t="shared" si="3"/>
        <v>100</v>
      </c>
      <c r="H53" s="171" t="s">
        <v>50</v>
      </c>
      <c r="I53" s="172"/>
      <c r="L53" s="118"/>
    </row>
    <row r="54" spans="1:12" s="43" customFormat="1" ht="20.100000000000001" customHeight="1" x14ac:dyDescent="0.15">
      <c r="A54" s="137"/>
      <c r="B54" s="176"/>
      <c r="C54" s="143"/>
      <c r="D54" s="150"/>
      <c r="E54" s="319"/>
      <c r="F54" s="151"/>
      <c r="G54" s="191"/>
      <c r="H54" s="185" t="s">
        <v>191</v>
      </c>
      <c r="I54" s="174">
        <f>100000*4</f>
        <v>400000</v>
      </c>
      <c r="L54" s="118"/>
    </row>
    <row r="55" spans="1:12" s="43" customFormat="1" ht="20.100000000000001" customHeight="1" x14ac:dyDescent="0.15">
      <c r="A55" s="137"/>
      <c r="B55" s="143"/>
      <c r="C55" s="408" t="s">
        <v>51</v>
      </c>
      <c r="D55" s="145">
        <f>'[1]결산추경예산내역-세출'!$E$58</f>
        <v>13304000</v>
      </c>
      <c r="E55" s="318">
        <f>SUM(I56:I61)</f>
        <v>15759200</v>
      </c>
      <c r="F55" s="146">
        <f t="shared" si="4"/>
        <v>2455200</v>
      </c>
      <c r="G55" s="147">
        <f t="shared" si="3"/>
        <v>118.45460012026459</v>
      </c>
      <c r="H55" s="171" t="s">
        <v>51</v>
      </c>
      <c r="I55" s="172"/>
      <c r="L55" s="118"/>
    </row>
    <row r="56" spans="1:12" s="43" customFormat="1" ht="20.100000000000001" customHeight="1" x14ac:dyDescent="0.15">
      <c r="A56" s="137"/>
      <c r="B56" s="143"/>
      <c r="C56" s="409"/>
      <c r="D56" s="150"/>
      <c r="E56" s="319"/>
      <c r="F56" s="151"/>
      <c r="G56" s="153"/>
      <c r="H56" s="192" t="s">
        <v>138</v>
      </c>
      <c r="I56" s="128">
        <f>340600*8</f>
        <v>2724800</v>
      </c>
      <c r="L56" s="118"/>
    </row>
    <row r="57" spans="1:12" s="43" customFormat="1" ht="20.100000000000001" customHeight="1" x14ac:dyDescent="0.15">
      <c r="A57" s="166"/>
      <c r="B57" s="176"/>
      <c r="C57" s="143"/>
      <c r="D57" s="150"/>
      <c r="E57" s="319"/>
      <c r="F57" s="151"/>
      <c r="G57" s="153"/>
      <c r="H57" s="154" t="s">
        <v>139</v>
      </c>
      <c r="I57" s="128">
        <f>204600*12</f>
        <v>2455200</v>
      </c>
      <c r="L57" s="118"/>
    </row>
    <row r="58" spans="1:12" s="43" customFormat="1" ht="20.100000000000001" customHeight="1" x14ac:dyDescent="0.15">
      <c r="A58" s="137"/>
      <c r="B58" s="176"/>
      <c r="C58" s="143"/>
      <c r="D58" s="150"/>
      <c r="E58" s="319"/>
      <c r="F58" s="151"/>
      <c r="G58" s="153"/>
      <c r="H58" s="203" t="s">
        <v>142</v>
      </c>
      <c r="I58" s="128">
        <f>204600*12</f>
        <v>2455200</v>
      </c>
      <c r="L58" s="118"/>
    </row>
    <row r="59" spans="1:12" s="43" customFormat="1" ht="20.100000000000001" customHeight="1" x14ac:dyDescent="0.15">
      <c r="A59" s="137"/>
      <c r="B59" s="176"/>
      <c r="C59" s="143"/>
      <c r="D59" s="150"/>
      <c r="E59" s="319"/>
      <c r="F59" s="151"/>
      <c r="G59" s="153"/>
      <c r="H59" s="154" t="s">
        <v>113</v>
      </c>
      <c r="I59" s="128">
        <f>300000*4</f>
        <v>1200000</v>
      </c>
      <c r="L59" s="118"/>
    </row>
    <row r="60" spans="1:12" s="43" customFormat="1" ht="20.100000000000001" customHeight="1" x14ac:dyDescent="0.15">
      <c r="A60" s="137"/>
      <c r="B60" s="176"/>
      <c r="C60" s="143"/>
      <c r="D60" s="150"/>
      <c r="E60" s="319"/>
      <c r="F60" s="151"/>
      <c r="G60" s="153"/>
      <c r="H60" s="154" t="s">
        <v>122</v>
      </c>
      <c r="I60" s="128">
        <f>500000*12</f>
        <v>6000000</v>
      </c>
      <c r="L60" s="118"/>
    </row>
    <row r="61" spans="1:12" s="43" customFormat="1" ht="20.100000000000001" customHeight="1" x14ac:dyDescent="0.15">
      <c r="A61" s="137"/>
      <c r="B61" s="176"/>
      <c r="C61" s="143"/>
      <c r="D61" s="150"/>
      <c r="E61" s="319"/>
      <c r="F61" s="151"/>
      <c r="G61" s="153"/>
      <c r="H61" s="154" t="s">
        <v>71</v>
      </c>
      <c r="I61" s="128">
        <f>77000*12</f>
        <v>924000</v>
      </c>
      <c r="L61" s="118"/>
    </row>
    <row r="62" spans="1:12" s="43" customFormat="1" ht="20.100000000000001" customHeight="1" x14ac:dyDescent="0.15">
      <c r="A62" s="137"/>
      <c r="B62" s="143"/>
      <c r="C62" s="144" t="s">
        <v>52</v>
      </c>
      <c r="D62" s="145">
        <f>'[1]결산추경예산내역-세출'!$E$64</f>
        <v>5640000</v>
      </c>
      <c r="E62" s="318">
        <f>I63+I64</f>
        <v>6840000</v>
      </c>
      <c r="F62" s="146">
        <f t="shared" ref="F62" si="5">E62-D62</f>
        <v>1200000</v>
      </c>
      <c r="G62" s="147">
        <f t="shared" ref="G62" si="6">E62/D62*100</f>
        <v>121.27659574468086</v>
      </c>
      <c r="H62" s="171" t="s">
        <v>52</v>
      </c>
      <c r="I62" s="172"/>
      <c r="L62" s="118"/>
    </row>
    <row r="63" spans="1:12" s="43" customFormat="1" ht="20.100000000000001" customHeight="1" x14ac:dyDescent="0.15">
      <c r="A63" s="137"/>
      <c r="B63" s="176"/>
      <c r="C63" s="143"/>
      <c r="D63" s="150"/>
      <c r="E63" s="319"/>
      <c r="F63" s="151"/>
      <c r="G63" s="153"/>
      <c r="H63" s="154" t="s">
        <v>121</v>
      </c>
      <c r="I63" s="128">
        <f>70000*12</f>
        <v>840000</v>
      </c>
      <c r="L63" s="118"/>
    </row>
    <row r="64" spans="1:12" s="43" customFormat="1" ht="20.100000000000001" customHeight="1" x14ac:dyDescent="0.15">
      <c r="A64" s="137"/>
      <c r="B64" s="176"/>
      <c r="C64" s="143"/>
      <c r="D64" s="150"/>
      <c r="E64" s="319"/>
      <c r="F64" s="151"/>
      <c r="G64" s="153"/>
      <c r="H64" s="154" t="s">
        <v>226</v>
      </c>
      <c r="I64" s="174">
        <f>500000*12</f>
        <v>6000000</v>
      </c>
      <c r="L64" s="118"/>
    </row>
    <row r="65" spans="1:12" s="43" customFormat="1" ht="20.100000000000001" customHeight="1" x14ac:dyDescent="0.15">
      <c r="A65" s="137"/>
      <c r="B65" s="176"/>
      <c r="C65" s="144" t="s">
        <v>53</v>
      </c>
      <c r="D65" s="146">
        <v>5540000</v>
      </c>
      <c r="E65" s="318">
        <f>I66+I67+I68+I69+I70</f>
        <v>5540000</v>
      </c>
      <c r="F65" s="146">
        <f t="shared" ref="F65" si="7">E65-D65</f>
        <v>0</v>
      </c>
      <c r="G65" s="147">
        <f t="shared" ref="G65" si="8">E65/D65*100</f>
        <v>100</v>
      </c>
      <c r="H65" s="171" t="s">
        <v>53</v>
      </c>
      <c r="I65" s="128"/>
      <c r="L65" s="118"/>
    </row>
    <row r="66" spans="1:12" s="43" customFormat="1" ht="20.100000000000001" customHeight="1" x14ac:dyDescent="0.15">
      <c r="A66" s="137"/>
      <c r="B66" s="176"/>
      <c r="C66" s="143"/>
      <c r="D66" s="150"/>
      <c r="E66" s="319"/>
      <c r="F66" s="151"/>
      <c r="G66" s="153"/>
      <c r="H66" s="154" t="s">
        <v>110</v>
      </c>
      <c r="I66" s="128">
        <f>50000*2</f>
        <v>100000</v>
      </c>
      <c r="L66" s="118"/>
    </row>
    <row r="67" spans="1:12" s="43" customFormat="1" ht="20.100000000000001" customHeight="1" x14ac:dyDescent="0.15">
      <c r="A67" s="137"/>
      <c r="B67" s="176"/>
      <c r="C67" s="143"/>
      <c r="D67" s="150"/>
      <c r="E67" s="319"/>
      <c r="F67" s="151"/>
      <c r="G67" s="153"/>
      <c r="H67" s="154" t="s">
        <v>156</v>
      </c>
      <c r="I67" s="128">
        <f>500000*2</f>
        <v>1000000</v>
      </c>
      <c r="L67" s="118"/>
    </row>
    <row r="68" spans="1:12" s="43" customFormat="1" ht="20.100000000000001" customHeight="1" x14ac:dyDescent="0.15">
      <c r="A68" s="137"/>
      <c r="B68" s="176"/>
      <c r="C68" s="143"/>
      <c r="D68" s="150"/>
      <c r="E68" s="319"/>
      <c r="F68" s="151"/>
      <c r="G68" s="153"/>
      <c r="H68" s="154" t="s">
        <v>157</v>
      </c>
      <c r="I68" s="128">
        <f>300000*4</f>
        <v>1200000</v>
      </c>
      <c r="L68" s="118"/>
    </row>
    <row r="69" spans="1:12" s="43" customFormat="1" ht="20.100000000000001" customHeight="1" x14ac:dyDescent="0.15">
      <c r="A69" s="137"/>
      <c r="B69" s="176"/>
      <c r="C69" s="143"/>
      <c r="D69" s="150"/>
      <c r="E69" s="319"/>
      <c r="F69" s="151"/>
      <c r="G69" s="153"/>
      <c r="H69" s="154" t="s">
        <v>192</v>
      </c>
      <c r="I69" s="128">
        <f>1000000*3</f>
        <v>3000000</v>
      </c>
      <c r="L69" s="118"/>
    </row>
    <row r="70" spans="1:12" s="43" customFormat="1" ht="20.100000000000001" customHeight="1" x14ac:dyDescent="0.15">
      <c r="A70" s="137"/>
      <c r="B70" s="176"/>
      <c r="C70" s="178"/>
      <c r="D70" s="169"/>
      <c r="E70" s="321"/>
      <c r="F70" s="181"/>
      <c r="G70" s="173"/>
      <c r="H70" s="185" t="s">
        <v>145</v>
      </c>
      <c r="I70" s="174">
        <f>80000*3</f>
        <v>240000</v>
      </c>
      <c r="L70" s="118"/>
    </row>
    <row r="71" spans="1:12" s="43" customFormat="1" ht="20.100000000000001" customHeight="1" x14ac:dyDescent="0.15">
      <c r="A71" s="166"/>
      <c r="B71" s="143"/>
      <c r="C71" s="143" t="s">
        <v>54</v>
      </c>
      <c r="D71" s="150">
        <f>'[1]결산추경예산내역-세출'!$E$73</f>
        <v>9600000</v>
      </c>
      <c r="E71" s="319">
        <f>I72+I73</f>
        <v>9600000</v>
      </c>
      <c r="F71" s="151">
        <f t="shared" ref="F71" si="9">E71-D71</f>
        <v>0</v>
      </c>
      <c r="G71" s="165">
        <f t="shared" ref="G71" si="10">E71/D71*100</f>
        <v>100</v>
      </c>
      <c r="H71" s="154" t="s">
        <v>54</v>
      </c>
      <c r="I71" s="128"/>
      <c r="L71" s="118"/>
    </row>
    <row r="72" spans="1:12" s="43" customFormat="1" ht="20.100000000000001" customHeight="1" x14ac:dyDescent="0.15">
      <c r="A72" s="137"/>
      <c r="B72" s="176"/>
      <c r="C72" s="143"/>
      <c r="D72" s="150"/>
      <c r="E72" s="319"/>
      <c r="F72" s="151"/>
      <c r="G72" s="153"/>
      <c r="H72" s="154" t="s">
        <v>146</v>
      </c>
      <c r="I72" s="128">
        <f>600000*12</f>
        <v>7200000</v>
      </c>
      <c r="L72" s="118"/>
    </row>
    <row r="73" spans="1:12" s="43" customFormat="1" ht="20.100000000000001" customHeight="1" x14ac:dyDescent="0.15">
      <c r="A73" s="137"/>
      <c r="B73" s="176"/>
      <c r="C73" s="143"/>
      <c r="D73" s="150"/>
      <c r="E73" s="319"/>
      <c r="F73" s="151"/>
      <c r="G73" s="173"/>
      <c r="H73" s="154" t="s">
        <v>152</v>
      </c>
      <c r="I73" s="174">
        <f>200000*3*4</f>
        <v>2400000</v>
      </c>
      <c r="L73" s="118"/>
    </row>
    <row r="74" spans="1:12" s="43" customFormat="1" ht="20.100000000000001" customHeight="1" x14ac:dyDescent="0.15">
      <c r="A74" s="137"/>
      <c r="B74" s="176"/>
      <c r="C74" s="144" t="s">
        <v>55</v>
      </c>
      <c r="D74" s="145">
        <v>4160000</v>
      </c>
      <c r="E74" s="318">
        <f>I75+I76+I77</f>
        <v>4160000</v>
      </c>
      <c r="F74" s="146">
        <f t="shared" ref="F74" si="11">E74-D74</f>
        <v>0</v>
      </c>
      <c r="G74" s="147">
        <f t="shared" ref="G74" si="12">E74/D74*100</f>
        <v>100</v>
      </c>
      <c r="H74" s="171" t="s">
        <v>55</v>
      </c>
      <c r="I74" s="128"/>
      <c r="L74" s="118"/>
    </row>
    <row r="75" spans="1:12" s="43" customFormat="1" ht="20.100000000000001" customHeight="1" x14ac:dyDescent="0.15">
      <c r="A75" s="137"/>
      <c r="B75" s="176"/>
      <c r="C75" s="143"/>
      <c r="D75" s="150"/>
      <c r="E75" s="319"/>
      <c r="F75" s="151"/>
      <c r="G75" s="153"/>
      <c r="H75" s="154" t="s">
        <v>158</v>
      </c>
      <c r="I75" s="128">
        <f>300000*12</f>
        <v>3600000</v>
      </c>
      <c r="L75" s="118"/>
    </row>
    <row r="76" spans="1:12" s="43" customFormat="1" ht="20.100000000000001" customHeight="1" x14ac:dyDescent="0.15">
      <c r="A76" s="137"/>
      <c r="B76" s="176"/>
      <c r="C76" s="143"/>
      <c r="D76" s="150"/>
      <c r="E76" s="319"/>
      <c r="F76" s="151"/>
      <c r="G76" s="153"/>
      <c r="H76" s="154" t="s">
        <v>159</v>
      </c>
      <c r="I76" s="128">
        <f>50000*9</f>
        <v>450000</v>
      </c>
      <c r="L76" s="118"/>
    </row>
    <row r="77" spans="1:12" s="188" customFormat="1" ht="20.100000000000001" customHeight="1" x14ac:dyDescent="0.15">
      <c r="A77" s="157"/>
      <c r="B77" s="186"/>
      <c r="C77" s="158"/>
      <c r="D77" s="159"/>
      <c r="E77" s="320"/>
      <c r="F77" s="160"/>
      <c r="G77" s="162"/>
      <c r="H77" s="163" t="s">
        <v>193</v>
      </c>
      <c r="I77" s="164">
        <f>55000*2</f>
        <v>110000</v>
      </c>
      <c r="L77" s="189"/>
    </row>
    <row r="78" spans="1:12" s="43" customFormat="1" ht="20.100000000000001" customHeight="1" x14ac:dyDescent="0.15">
      <c r="A78" s="193" t="s">
        <v>27</v>
      </c>
      <c r="B78" s="130"/>
      <c r="C78" s="180"/>
      <c r="D78" s="194">
        <f>'[1]결산추경예산내역-세출'!$E$80</f>
        <v>6665196</v>
      </c>
      <c r="E78" s="322">
        <f>E79</f>
        <v>4709996</v>
      </c>
      <c r="F78" s="179">
        <f t="shared" si="0"/>
        <v>-1955200</v>
      </c>
      <c r="G78" s="191">
        <f t="shared" ref="G78:G97" si="13">E78/D78*100</f>
        <v>70.665528815656728</v>
      </c>
      <c r="H78" s="185" t="s">
        <v>27</v>
      </c>
      <c r="I78" s="195"/>
      <c r="L78" s="118"/>
    </row>
    <row r="79" spans="1:12" s="43" customFormat="1" ht="20.100000000000001" customHeight="1" x14ac:dyDescent="0.15">
      <c r="A79" s="403"/>
      <c r="B79" s="138" t="s">
        <v>28</v>
      </c>
      <c r="C79" s="131"/>
      <c r="D79" s="139">
        <f>'[1]결산추경예산내역-세출'!$E$81</f>
        <v>6665196</v>
      </c>
      <c r="E79" s="317">
        <f>E80+E83</f>
        <v>4709996</v>
      </c>
      <c r="F79" s="140">
        <f t="shared" si="0"/>
        <v>-1955200</v>
      </c>
      <c r="G79" s="141">
        <f t="shared" si="13"/>
        <v>70.665528815656728</v>
      </c>
      <c r="H79" s="182" t="s">
        <v>28</v>
      </c>
      <c r="I79" s="135"/>
      <c r="L79" s="118"/>
    </row>
    <row r="80" spans="1:12" s="43" customFormat="1" ht="20.100000000000001" customHeight="1" x14ac:dyDescent="0.15">
      <c r="A80" s="403"/>
      <c r="B80" s="197"/>
      <c r="C80" s="144" t="s">
        <v>29</v>
      </c>
      <c r="D80" s="145">
        <f>'[1]결산추경예산내역-세출'!$E$82</f>
        <v>5815196</v>
      </c>
      <c r="E80" s="318">
        <f>I81+I82</f>
        <v>3359996</v>
      </c>
      <c r="F80" s="146">
        <f t="shared" si="0"/>
        <v>-2455200</v>
      </c>
      <c r="G80" s="184">
        <f t="shared" si="13"/>
        <v>57.779583009755818</v>
      </c>
      <c r="H80" s="198" t="s">
        <v>29</v>
      </c>
      <c r="I80" s="199"/>
      <c r="L80" s="118"/>
    </row>
    <row r="81" spans="1:12" s="43" customFormat="1" ht="20.100000000000001" customHeight="1" x14ac:dyDescent="0.15">
      <c r="A81" s="200"/>
      <c r="B81" s="201"/>
      <c r="C81" s="143"/>
      <c r="D81" s="150"/>
      <c r="E81" s="319"/>
      <c r="F81" s="151"/>
      <c r="G81" s="184"/>
      <c r="H81" s="202" t="s">
        <v>147</v>
      </c>
      <c r="I81" s="128">
        <f>250000*2</f>
        <v>500000</v>
      </c>
      <c r="L81" s="118"/>
    </row>
    <row r="82" spans="1:12" s="43" customFormat="1" ht="20.100000000000001" customHeight="1" x14ac:dyDescent="0.15">
      <c r="A82" s="200"/>
      <c r="B82" s="197"/>
      <c r="C82" s="178"/>
      <c r="D82" s="169"/>
      <c r="E82" s="321"/>
      <c r="F82" s="181"/>
      <c r="G82" s="191"/>
      <c r="H82" s="203" t="s">
        <v>137</v>
      </c>
      <c r="I82" s="174">
        <f>238333*12</f>
        <v>2859996</v>
      </c>
      <c r="L82" s="118"/>
    </row>
    <row r="83" spans="1:12" s="43" customFormat="1" ht="20.100000000000001" customHeight="1" x14ac:dyDescent="0.15">
      <c r="A83" s="196"/>
      <c r="B83" s="201"/>
      <c r="C83" s="289" t="s">
        <v>99</v>
      </c>
      <c r="D83" s="150">
        <f>'[1]결산추경예산내역-세출'!$E$86</f>
        <v>850000</v>
      </c>
      <c r="E83" s="319">
        <f>I84+I86+I85</f>
        <v>1350000</v>
      </c>
      <c r="F83" s="151">
        <f t="shared" si="0"/>
        <v>500000</v>
      </c>
      <c r="G83" s="165">
        <f t="shared" si="13"/>
        <v>158.8235294117647</v>
      </c>
      <c r="H83" s="198" t="s">
        <v>99</v>
      </c>
      <c r="I83" s="172"/>
      <c r="L83" s="118"/>
    </row>
    <row r="84" spans="1:12" s="43" customFormat="1" ht="20.100000000000001" customHeight="1" x14ac:dyDescent="0.15">
      <c r="A84" s="200"/>
      <c r="B84" s="197"/>
      <c r="C84" s="290"/>
      <c r="D84" s="150"/>
      <c r="E84" s="319"/>
      <c r="F84" s="151"/>
      <c r="G84" s="184"/>
      <c r="H84" s="203" t="s">
        <v>136</v>
      </c>
      <c r="I84" s="128">
        <f>550000*1</f>
        <v>550000</v>
      </c>
      <c r="L84" s="118"/>
    </row>
    <row r="85" spans="1:12" s="43" customFormat="1" ht="20.100000000000001" customHeight="1" x14ac:dyDescent="0.15">
      <c r="A85" s="200"/>
      <c r="B85" s="197"/>
      <c r="C85" s="290"/>
      <c r="D85" s="150"/>
      <c r="E85" s="319"/>
      <c r="F85" s="151"/>
      <c r="G85" s="184"/>
      <c r="H85" s="203" t="s">
        <v>112</v>
      </c>
      <c r="I85" s="128">
        <f>300000*1</f>
        <v>300000</v>
      </c>
      <c r="L85" s="118"/>
    </row>
    <row r="86" spans="1:12" s="43" customFormat="1" ht="20.100000000000001" customHeight="1" x14ac:dyDescent="0.15">
      <c r="A86" s="200"/>
      <c r="B86" s="204"/>
      <c r="C86" s="178"/>
      <c r="D86" s="150"/>
      <c r="E86" s="319"/>
      <c r="F86" s="151"/>
      <c r="G86" s="141"/>
      <c r="H86" s="203" t="s">
        <v>265</v>
      </c>
      <c r="I86" s="174">
        <f>500000*1</f>
        <v>500000</v>
      </c>
      <c r="L86" s="118"/>
    </row>
    <row r="87" spans="1:12" s="43" customFormat="1" ht="20.100000000000001" customHeight="1" x14ac:dyDescent="0.15">
      <c r="A87" s="129" t="s">
        <v>56</v>
      </c>
      <c r="B87" s="130"/>
      <c r="C87" s="131"/>
      <c r="D87" s="132">
        <v>42591000</v>
      </c>
      <c r="E87" s="316">
        <f>E88+E94+E125</f>
        <v>43331000</v>
      </c>
      <c r="F87" s="133">
        <f t="shared" ref="F87:F88" si="14">E87-D87</f>
        <v>740000</v>
      </c>
      <c r="G87" s="205">
        <f t="shared" si="13"/>
        <v>101.73745627010402</v>
      </c>
      <c r="H87" s="182" t="s">
        <v>56</v>
      </c>
      <c r="I87" s="135"/>
      <c r="L87" s="118"/>
    </row>
    <row r="88" spans="1:12" s="43" customFormat="1" ht="20.100000000000001" customHeight="1" x14ac:dyDescent="0.15">
      <c r="A88" s="137"/>
      <c r="B88" s="138" t="s">
        <v>49</v>
      </c>
      <c r="C88" s="131"/>
      <c r="D88" s="139">
        <v>26008000</v>
      </c>
      <c r="E88" s="317">
        <f>E89+E92</f>
        <v>26008000</v>
      </c>
      <c r="F88" s="140">
        <f t="shared" si="14"/>
        <v>0</v>
      </c>
      <c r="G88" s="141">
        <f t="shared" si="13"/>
        <v>100</v>
      </c>
      <c r="H88" s="182" t="s">
        <v>49</v>
      </c>
      <c r="I88" s="135"/>
      <c r="L88" s="118"/>
    </row>
    <row r="89" spans="1:12" s="43" customFormat="1" ht="20.100000000000001" customHeight="1" x14ac:dyDescent="0.15">
      <c r="A89" s="137"/>
      <c r="B89" s="143"/>
      <c r="C89" s="144" t="s">
        <v>57</v>
      </c>
      <c r="D89" s="145">
        <v>25808000</v>
      </c>
      <c r="E89" s="318">
        <f>I90+I91</f>
        <v>25808000</v>
      </c>
      <c r="F89" s="146">
        <f>E89-D89</f>
        <v>0</v>
      </c>
      <c r="G89" s="147">
        <f t="shared" si="13"/>
        <v>100</v>
      </c>
      <c r="H89" s="154" t="s">
        <v>57</v>
      </c>
      <c r="I89" s="128"/>
      <c r="L89" s="118"/>
    </row>
    <row r="90" spans="1:12" s="43" customFormat="1" ht="20.100000000000001" customHeight="1" x14ac:dyDescent="0.15">
      <c r="A90" s="137"/>
      <c r="B90" s="143"/>
      <c r="C90" s="143"/>
      <c r="D90" s="150"/>
      <c r="E90" s="319"/>
      <c r="F90" s="151"/>
      <c r="G90" s="165"/>
      <c r="H90" s="154" t="s">
        <v>186</v>
      </c>
      <c r="I90" s="128">
        <f>2400*40*248</f>
        <v>23808000</v>
      </c>
      <c r="L90" s="118"/>
    </row>
    <row r="91" spans="1:12" s="43" customFormat="1" ht="20.100000000000001" customHeight="1" x14ac:dyDescent="0.15">
      <c r="A91" s="137"/>
      <c r="B91" s="143"/>
      <c r="C91" s="178"/>
      <c r="D91" s="169"/>
      <c r="E91" s="321"/>
      <c r="F91" s="181"/>
      <c r="G91" s="191"/>
      <c r="H91" s="185" t="s">
        <v>153</v>
      </c>
      <c r="I91" s="174">
        <f>2000000*1</f>
        <v>2000000</v>
      </c>
      <c r="L91" s="118"/>
    </row>
    <row r="92" spans="1:12" s="43" customFormat="1" ht="20.100000000000001" customHeight="1" x14ac:dyDescent="0.15">
      <c r="A92" s="137"/>
      <c r="B92" s="143"/>
      <c r="C92" s="144" t="s">
        <v>58</v>
      </c>
      <c r="D92" s="145">
        <v>200000</v>
      </c>
      <c r="E92" s="318">
        <f>I93</f>
        <v>200000</v>
      </c>
      <c r="F92" s="146">
        <f>E92-D92</f>
        <v>0</v>
      </c>
      <c r="G92" s="147">
        <f t="shared" si="13"/>
        <v>100</v>
      </c>
      <c r="H92" s="171" t="s">
        <v>58</v>
      </c>
      <c r="I92" s="172"/>
      <c r="L92" s="118"/>
    </row>
    <row r="93" spans="1:12" s="43" customFormat="1" ht="20.100000000000001" customHeight="1" x14ac:dyDescent="0.15">
      <c r="A93" s="137"/>
      <c r="B93" s="190"/>
      <c r="C93" s="178"/>
      <c r="D93" s="169"/>
      <c r="E93" s="321"/>
      <c r="F93" s="181"/>
      <c r="G93" s="141"/>
      <c r="H93" s="185" t="s">
        <v>160</v>
      </c>
      <c r="I93" s="174">
        <f>100000*2</f>
        <v>200000</v>
      </c>
      <c r="L93" s="118"/>
    </row>
    <row r="94" spans="1:12" s="43" customFormat="1" ht="19.5" customHeight="1" x14ac:dyDescent="0.15">
      <c r="A94" s="166"/>
      <c r="B94" s="176" t="s">
        <v>56</v>
      </c>
      <c r="C94" s="180"/>
      <c r="D94" s="150">
        <v>9760000</v>
      </c>
      <c r="E94" s="319">
        <f>E95+E97+E106+E108+E111+E123</f>
        <v>10100000</v>
      </c>
      <c r="F94" s="151">
        <f t="shared" ref="F94" si="15">E94-D94</f>
        <v>340000</v>
      </c>
      <c r="G94" s="184">
        <f t="shared" si="13"/>
        <v>103.48360655737704</v>
      </c>
      <c r="H94" s="154" t="s">
        <v>56</v>
      </c>
      <c r="I94" s="174"/>
      <c r="L94" s="118"/>
    </row>
    <row r="95" spans="1:12" s="43" customFormat="1" ht="19.5" customHeight="1" x14ac:dyDescent="0.15">
      <c r="A95" s="166"/>
      <c r="B95" s="144"/>
      <c r="C95" s="143" t="s">
        <v>106</v>
      </c>
      <c r="D95" s="145">
        <f>'[1]결산추경예산내역-세출'!$E$97</f>
        <v>600000</v>
      </c>
      <c r="E95" s="318">
        <f>I96</f>
        <v>1000000</v>
      </c>
      <c r="F95" s="146">
        <f>E95-D95</f>
        <v>400000</v>
      </c>
      <c r="G95" s="147">
        <f t="shared" si="13"/>
        <v>166.66666666666669</v>
      </c>
      <c r="H95" s="171" t="s">
        <v>106</v>
      </c>
      <c r="I95" s="128"/>
      <c r="L95" s="118"/>
    </row>
    <row r="96" spans="1:12" s="43" customFormat="1" ht="19.5" customHeight="1" x14ac:dyDescent="0.15">
      <c r="A96" s="137"/>
      <c r="B96" s="176"/>
      <c r="C96" s="178"/>
      <c r="D96" s="169"/>
      <c r="E96" s="321"/>
      <c r="F96" s="181"/>
      <c r="G96" s="141"/>
      <c r="H96" s="185" t="s">
        <v>224</v>
      </c>
      <c r="I96" s="128">
        <f>500000*2</f>
        <v>1000000</v>
      </c>
      <c r="L96" s="118"/>
    </row>
    <row r="97" spans="1:12" s="43" customFormat="1" ht="20.100000000000001" customHeight="1" x14ac:dyDescent="0.15">
      <c r="A97" s="137"/>
      <c r="B97" s="143"/>
      <c r="C97" s="408" t="s">
        <v>102</v>
      </c>
      <c r="D97" s="150">
        <v>3120000</v>
      </c>
      <c r="E97" s="319">
        <f>I98+I99+I100+I101+I102+I103+I104+I105</f>
        <v>2760000</v>
      </c>
      <c r="F97" s="151">
        <f t="shared" ref="F97" si="16">E97-D97</f>
        <v>-360000</v>
      </c>
      <c r="G97" s="147">
        <f t="shared" si="13"/>
        <v>88.461538461538453</v>
      </c>
      <c r="H97" s="66" t="s">
        <v>102</v>
      </c>
      <c r="I97" s="172"/>
      <c r="L97" s="118"/>
    </row>
    <row r="98" spans="1:12" s="43" customFormat="1" ht="20.100000000000001" customHeight="1" x14ac:dyDescent="0.15">
      <c r="A98" s="137"/>
      <c r="B98" s="143"/>
      <c r="C98" s="409"/>
      <c r="D98" s="150"/>
      <c r="E98" s="319"/>
      <c r="F98" s="152"/>
      <c r="G98" s="153"/>
      <c r="H98" s="154" t="s">
        <v>172</v>
      </c>
      <c r="I98" s="128">
        <f>25000*4</f>
        <v>100000</v>
      </c>
      <c r="L98" s="118"/>
    </row>
    <row r="99" spans="1:12" s="43" customFormat="1" ht="20.100000000000001" customHeight="1" x14ac:dyDescent="0.15">
      <c r="A99" s="137"/>
      <c r="B99" s="143"/>
      <c r="C99" s="280"/>
      <c r="D99" s="150"/>
      <c r="E99" s="319"/>
      <c r="F99" s="152"/>
      <c r="G99" s="153"/>
      <c r="H99" s="154" t="s">
        <v>173</v>
      </c>
      <c r="I99" s="128">
        <f>75000*12</f>
        <v>900000</v>
      </c>
      <c r="L99" s="118"/>
    </row>
    <row r="100" spans="1:12" s="43" customFormat="1" ht="20.100000000000001" customHeight="1" x14ac:dyDescent="0.15">
      <c r="A100" s="137"/>
      <c r="B100" s="143"/>
      <c r="C100" s="280"/>
      <c r="D100" s="150"/>
      <c r="E100" s="319"/>
      <c r="F100" s="152"/>
      <c r="G100" s="153"/>
      <c r="H100" s="154" t="s">
        <v>167</v>
      </c>
      <c r="I100" s="128">
        <f>50000*12</f>
        <v>600000</v>
      </c>
      <c r="L100" s="118"/>
    </row>
    <row r="101" spans="1:12" s="43" customFormat="1" ht="20.100000000000001" customHeight="1" x14ac:dyDescent="0.15">
      <c r="A101" s="137"/>
      <c r="B101" s="143"/>
      <c r="C101" s="280"/>
      <c r="D101" s="150"/>
      <c r="E101" s="319"/>
      <c r="F101" s="152"/>
      <c r="G101" s="153"/>
      <c r="H101" s="154" t="s">
        <v>161</v>
      </c>
      <c r="I101" s="128">
        <f>50000*2</f>
        <v>100000</v>
      </c>
      <c r="L101" s="118"/>
    </row>
    <row r="102" spans="1:12" s="43" customFormat="1" ht="20.100000000000001" customHeight="1" x14ac:dyDescent="0.15">
      <c r="A102" s="137"/>
      <c r="B102" s="143"/>
      <c r="C102" s="280"/>
      <c r="D102" s="150"/>
      <c r="E102" s="319"/>
      <c r="F102" s="152"/>
      <c r="G102" s="153"/>
      <c r="H102" s="154" t="s">
        <v>162</v>
      </c>
      <c r="I102" s="128">
        <f>100000*2</f>
        <v>200000</v>
      </c>
      <c r="L102" s="118"/>
    </row>
    <row r="103" spans="1:12" s="43" customFormat="1" ht="20.100000000000001" customHeight="1" x14ac:dyDescent="0.15">
      <c r="A103" s="166"/>
      <c r="B103" s="143"/>
      <c r="C103" s="280"/>
      <c r="D103" s="150"/>
      <c r="E103" s="319"/>
      <c r="F103" s="152"/>
      <c r="G103" s="153"/>
      <c r="H103" s="154" t="s">
        <v>165</v>
      </c>
      <c r="I103" s="128">
        <f>50000*12</f>
        <v>600000</v>
      </c>
      <c r="L103" s="118"/>
    </row>
    <row r="104" spans="1:12" s="43" customFormat="1" ht="20.100000000000001" customHeight="1" x14ac:dyDescent="0.15">
      <c r="A104" s="137"/>
      <c r="B104" s="143"/>
      <c r="C104" s="280"/>
      <c r="D104" s="150"/>
      <c r="E104" s="319"/>
      <c r="F104" s="152"/>
      <c r="G104" s="153"/>
      <c r="H104" s="154" t="s">
        <v>163</v>
      </c>
      <c r="I104" s="128">
        <f>20000*3</f>
        <v>60000</v>
      </c>
      <c r="L104" s="118"/>
    </row>
    <row r="105" spans="1:12" s="188" customFormat="1" ht="20.100000000000001" customHeight="1" x14ac:dyDescent="0.15">
      <c r="A105" s="157"/>
      <c r="B105" s="158"/>
      <c r="C105" s="281"/>
      <c r="D105" s="159"/>
      <c r="E105" s="320"/>
      <c r="F105" s="161"/>
      <c r="G105" s="162"/>
      <c r="H105" s="163" t="s">
        <v>164</v>
      </c>
      <c r="I105" s="164">
        <f>50000*4</f>
        <v>200000</v>
      </c>
      <c r="L105" s="189"/>
    </row>
    <row r="106" spans="1:12" s="43" customFormat="1" ht="20.100000000000001" customHeight="1" x14ac:dyDescent="0.15">
      <c r="A106" s="166"/>
      <c r="B106" s="143"/>
      <c r="C106" s="410" t="s">
        <v>59</v>
      </c>
      <c r="D106" s="150">
        <f>'[1]결산추경예산내역-세출'!$E$107</f>
        <v>200000</v>
      </c>
      <c r="E106" s="319">
        <f>I107</f>
        <v>200000</v>
      </c>
      <c r="F106" s="151">
        <f>E106-D106</f>
        <v>0</v>
      </c>
      <c r="G106" s="165">
        <f t="shared" ref="G106" si="17">E106/D106*100</f>
        <v>100</v>
      </c>
      <c r="H106" s="154" t="s">
        <v>59</v>
      </c>
      <c r="I106" s="128"/>
      <c r="L106" s="118"/>
    </row>
    <row r="107" spans="1:12" s="43" customFormat="1" ht="20.100000000000001" customHeight="1" x14ac:dyDescent="0.15">
      <c r="A107" s="137"/>
      <c r="B107" s="176"/>
      <c r="C107" s="393"/>
      <c r="D107" s="150"/>
      <c r="E107" s="319"/>
      <c r="F107" s="179"/>
      <c r="G107" s="153"/>
      <c r="H107" s="154" t="s">
        <v>154</v>
      </c>
      <c r="I107" s="174">
        <f>50000*4</f>
        <v>200000</v>
      </c>
      <c r="L107" s="118"/>
    </row>
    <row r="108" spans="1:12" s="43" customFormat="1" ht="20.100000000000001" customHeight="1" x14ac:dyDescent="0.15">
      <c r="A108" s="137"/>
      <c r="B108" s="143"/>
      <c r="C108" s="392" t="s">
        <v>103</v>
      </c>
      <c r="D108" s="145">
        <v>920000</v>
      </c>
      <c r="E108" s="318">
        <f>I109+I110</f>
        <v>920000</v>
      </c>
      <c r="F108" s="146">
        <f>E108-D108</f>
        <v>0</v>
      </c>
      <c r="G108" s="147">
        <f t="shared" ref="G108" si="18">E108/D108*100</f>
        <v>100</v>
      </c>
      <c r="H108" s="171" t="s">
        <v>103</v>
      </c>
      <c r="I108" s="128"/>
      <c r="L108" s="118"/>
    </row>
    <row r="109" spans="1:12" s="43" customFormat="1" ht="20.100000000000001" customHeight="1" x14ac:dyDescent="0.15">
      <c r="A109" s="137"/>
      <c r="B109" s="143"/>
      <c r="C109" s="411"/>
      <c r="D109" s="150"/>
      <c r="E109" s="319"/>
      <c r="F109" s="152"/>
      <c r="G109" s="165"/>
      <c r="H109" s="154" t="s">
        <v>166</v>
      </c>
      <c r="I109" s="128">
        <f>50000*4</f>
        <v>200000</v>
      </c>
      <c r="L109" s="118"/>
    </row>
    <row r="110" spans="1:12" s="43" customFormat="1" ht="20.100000000000001" customHeight="1" x14ac:dyDescent="0.15">
      <c r="A110" s="137"/>
      <c r="B110" s="143"/>
      <c r="C110" s="393"/>
      <c r="D110" s="150"/>
      <c r="E110" s="321"/>
      <c r="F110" s="179"/>
      <c r="G110" s="191"/>
      <c r="H110" s="154" t="s">
        <v>174</v>
      </c>
      <c r="I110" s="174">
        <f>60000*12</f>
        <v>720000</v>
      </c>
      <c r="L110" s="118"/>
    </row>
    <row r="111" spans="1:12" s="43" customFormat="1" ht="20.100000000000001" customHeight="1" x14ac:dyDescent="0.15">
      <c r="A111" s="137"/>
      <c r="B111" s="143"/>
      <c r="C111" s="392" t="s">
        <v>104</v>
      </c>
      <c r="D111" s="146">
        <v>4320000</v>
      </c>
      <c r="E111" s="319">
        <f>I112+I113+I116+I117+I118+I119+I121+I122+I120+I114+I115</f>
        <v>4620000</v>
      </c>
      <c r="F111" s="151">
        <f>E111-D111</f>
        <v>300000</v>
      </c>
      <c r="G111" s="165">
        <f t="shared" ref="G111" si="19">E111/D111*100</f>
        <v>106.94444444444444</v>
      </c>
      <c r="H111" s="148" t="s">
        <v>104</v>
      </c>
      <c r="I111" s="128"/>
      <c r="L111" s="118"/>
    </row>
    <row r="112" spans="1:12" s="43" customFormat="1" ht="20.100000000000001" customHeight="1" x14ac:dyDescent="0.15">
      <c r="A112" s="166"/>
      <c r="B112" s="143"/>
      <c r="C112" s="411"/>
      <c r="D112" s="150"/>
      <c r="E112" s="319"/>
      <c r="F112" s="151"/>
      <c r="G112" s="165"/>
      <c r="H112" s="206" t="s">
        <v>168</v>
      </c>
      <c r="I112" s="128">
        <f>40000*12</f>
        <v>480000</v>
      </c>
      <c r="L112" s="118"/>
    </row>
    <row r="113" spans="1:12" s="43" customFormat="1" ht="20.100000000000001" customHeight="1" x14ac:dyDescent="0.15">
      <c r="A113" s="137"/>
      <c r="B113" s="143"/>
      <c r="C113" s="143"/>
      <c r="D113" s="150"/>
      <c r="E113" s="319"/>
      <c r="F113" s="151"/>
      <c r="G113" s="165"/>
      <c r="H113" s="206" t="s">
        <v>175</v>
      </c>
      <c r="I113" s="128">
        <f>300000*1</f>
        <v>300000</v>
      </c>
      <c r="L113" s="118"/>
    </row>
    <row r="114" spans="1:12" s="43" customFormat="1" ht="20.100000000000001" customHeight="1" x14ac:dyDescent="0.15">
      <c r="A114" s="137"/>
      <c r="B114" s="143"/>
      <c r="C114" s="143"/>
      <c r="D114" s="150"/>
      <c r="E114" s="319"/>
      <c r="F114" s="151"/>
      <c r="G114" s="165"/>
      <c r="H114" s="206" t="s">
        <v>184</v>
      </c>
      <c r="I114" s="128">
        <f>400000*2</f>
        <v>800000</v>
      </c>
      <c r="L114" s="118"/>
    </row>
    <row r="115" spans="1:12" s="43" customFormat="1" ht="20.100000000000001" customHeight="1" x14ac:dyDescent="0.15">
      <c r="A115" s="137"/>
      <c r="B115" s="143"/>
      <c r="C115" s="143"/>
      <c r="D115" s="150"/>
      <c r="E115" s="319"/>
      <c r="F115" s="151"/>
      <c r="G115" s="165"/>
      <c r="H115" s="206" t="s">
        <v>185</v>
      </c>
      <c r="I115" s="128">
        <f>150000*4</f>
        <v>600000</v>
      </c>
      <c r="L115" s="118"/>
    </row>
    <row r="116" spans="1:12" s="43" customFormat="1" ht="20.100000000000001" customHeight="1" x14ac:dyDescent="0.15">
      <c r="A116" s="137"/>
      <c r="B116" s="143"/>
      <c r="C116" s="143"/>
      <c r="D116" s="150"/>
      <c r="E116" s="319"/>
      <c r="F116" s="151"/>
      <c r="G116" s="165"/>
      <c r="H116" s="206" t="s">
        <v>176</v>
      </c>
      <c r="I116" s="128">
        <f>7000*40*2</f>
        <v>560000</v>
      </c>
      <c r="J116" s="119"/>
      <c r="L116" s="118"/>
    </row>
    <row r="117" spans="1:12" s="43" customFormat="1" ht="20.100000000000001" customHeight="1" x14ac:dyDescent="0.15">
      <c r="A117" s="137"/>
      <c r="B117" s="143"/>
      <c r="C117" s="143"/>
      <c r="D117" s="150"/>
      <c r="E117" s="319"/>
      <c r="F117" s="151"/>
      <c r="G117" s="165"/>
      <c r="H117" s="206" t="s">
        <v>177</v>
      </c>
      <c r="I117" s="128">
        <f>100000*1</f>
        <v>100000</v>
      </c>
      <c r="L117" s="118"/>
    </row>
    <row r="118" spans="1:12" s="43" customFormat="1" ht="20.100000000000001" customHeight="1" x14ac:dyDescent="0.15">
      <c r="A118" s="137"/>
      <c r="B118" s="143"/>
      <c r="C118" s="143"/>
      <c r="D118" s="150"/>
      <c r="E118" s="319"/>
      <c r="F118" s="151"/>
      <c r="G118" s="165"/>
      <c r="H118" s="206" t="s">
        <v>180</v>
      </c>
      <c r="I118" s="128">
        <f>7000*40*1</f>
        <v>280000</v>
      </c>
      <c r="L118" s="118"/>
    </row>
    <row r="119" spans="1:12" s="43" customFormat="1" ht="20.100000000000001" customHeight="1" x14ac:dyDescent="0.15">
      <c r="A119" s="137"/>
      <c r="B119" s="143"/>
      <c r="C119" s="143"/>
      <c r="D119" s="150"/>
      <c r="E119" s="319"/>
      <c r="F119" s="151"/>
      <c r="G119" s="165"/>
      <c r="H119" s="206" t="s">
        <v>178</v>
      </c>
      <c r="I119" s="128">
        <f>200000*1</f>
        <v>200000</v>
      </c>
      <c r="L119" s="118"/>
    </row>
    <row r="120" spans="1:12" s="43" customFormat="1" ht="20.100000000000001" customHeight="1" x14ac:dyDescent="0.15">
      <c r="A120" s="137"/>
      <c r="B120" s="143"/>
      <c r="C120" s="143"/>
      <c r="D120" s="150"/>
      <c r="E120" s="319"/>
      <c r="F120" s="151"/>
      <c r="G120" s="165"/>
      <c r="H120" s="206" t="s">
        <v>179</v>
      </c>
      <c r="I120" s="128">
        <f>100000*1</f>
        <v>100000</v>
      </c>
      <c r="L120" s="118"/>
    </row>
    <row r="121" spans="1:12" s="43" customFormat="1" ht="20.100000000000001" customHeight="1" x14ac:dyDescent="0.15">
      <c r="A121" s="137"/>
      <c r="B121" s="143"/>
      <c r="C121" s="143"/>
      <c r="D121" s="150"/>
      <c r="E121" s="319"/>
      <c r="F121" s="152"/>
      <c r="G121" s="153"/>
      <c r="H121" s="206" t="s">
        <v>135</v>
      </c>
      <c r="I121" s="128">
        <f>600000*1</f>
        <v>600000</v>
      </c>
      <c r="L121" s="118"/>
    </row>
    <row r="122" spans="1:12" s="43" customFormat="1" ht="20.100000000000001" customHeight="1" x14ac:dyDescent="0.15">
      <c r="A122" s="137"/>
      <c r="B122" s="143"/>
      <c r="C122" s="143"/>
      <c r="D122" s="150"/>
      <c r="E122" s="319"/>
      <c r="F122" s="152"/>
      <c r="G122" s="153"/>
      <c r="H122" s="206" t="s">
        <v>241</v>
      </c>
      <c r="I122" s="174">
        <f>150000*4</f>
        <v>600000</v>
      </c>
      <c r="L122" s="118"/>
    </row>
    <row r="123" spans="1:12" s="43" customFormat="1" ht="20.100000000000001" customHeight="1" x14ac:dyDescent="0.15">
      <c r="A123" s="137"/>
      <c r="B123" s="143"/>
      <c r="C123" s="392" t="s">
        <v>105</v>
      </c>
      <c r="D123" s="145">
        <f>'[1]결산추경예산내역-세출'!$E$119</f>
        <v>600000</v>
      </c>
      <c r="E123" s="318">
        <f>I124</f>
        <v>600000</v>
      </c>
      <c r="F123" s="146">
        <f>E123-D123</f>
        <v>0</v>
      </c>
      <c r="G123" s="147">
        <f t="shared" ref="G123" si="20">E123/D123*100</f>
        <v>100</v>
      </c>
      <c r="H123" s="148" t="s">
        <v>60</v>
      </c>
      <c r="I123" s="128"/>
      <c r="L123" s="118"/>
    </row>
    <row r="124" spans="1:12" s="43" customFormat="1" ht="20.100000000000001" customHeight="1" x14ac:dyDescent="0.15">
      <c r="A124" s="137"/>
      <c r="B124" s="143"/>
      <c r="C124" s="393"/>
      <c r="D124" s="150"/>
      <c r="E124" s="319"/>
      <c r="F124" s="152"/>
      <c r="G124" s="153"/>
      <c r="H124" s="206" t="s">
        <v>111</v>
      </c>
      <c r="I124" s="128">
        <f>150000*4</f>
        <v>600000</v>
      </c>
      <c r="L124" s="118"/>
    </row>
    <row r="125" spans="1:12" s="43" customFormat="1" ht="19.5" customHeight="1" x14ac:dyDescent="0.15">
      <c r="A125" s="137"/>
      <c r="B125" s="138" t="s">
        <v>61</v>
      </c>
      <c r="C125" s="284"/>
      <c r="D125" s="207">
        <v>6823000</v>
      </c>
      <c r="E125" s="323">
        <f>E126+E128+E134+E137</f>
        <v>7223000</v>
      </c>
      <c r="F125" s="208">
        <f>F126+F128+F134+F137</f>
        <v>400000</v>
      </c>
      <c r="G125" s="205">
        <f t="shared" ref="G125" si="21">E125/D125*100</f>
        <v>105.862523816503</v>
      </c>
      <c r="H125" s="182" t="s">
        <v>61</v>
      </c>
      <c r="I125" s="135"/>
      <c r="L125" s="118"/>
    </row>
    <row r="126" spans="1:12" s="43" customFormat="1" ht="20.100000000000001" customHeight="1" x14ac:dyDescent="0.15">
      <c r="A126" s="137"/>
      <c r="B126" s="143"/>
      <c r="C126" s="289" t="s">
        <v>62</v>
      </c>
      <c r="D126" s="145">
        <v>4000000</v>
      </c>
      <c r="E126" s="318">
        <f>I127</f>
        <v>4000000</v>
      </c>
      <c r="F126" s="146">
        <f t="shared" ref="F126" si="22">E126-D126</f>
        <v>0</v>
      </c>
      <c r="G126" s="147">
        <f t="shared" ref="G126:G128" si="23">E126/D126*100</f>
        <v>100</v>
      </c>
      <c r="H126" s="171" t="s">
        <v>64</v>
      </c>
      <c r="I126" s="128"/>
      <c r="L126" s="118"/>
    </row>
    <row r="127" spans="1:12" s="43" customFormat="1" ht="20.100000000000001" customHeight="1" x14ac:dyDescent="0.15">
      <c r="A127" s="137"/>
      <c r="B127" s="143"/>
      <c r="C127" s="291"/>
      <c r="D127" s="150"/>
      <c r="E127" s="319"/>
      <c r="F127" s="152"/>
      <c r="G127" s="153"/>
      <c r="H127" s="185" t="s">
        <v>169</v>
      </c>
      <c r="I127" s="174">
        <f>1000000*4</f>
        <v>4000000</v>
      </c>
      <c r="L127" s="118"/>
    </row>
    <row r="128" spans="1:12" s="43" customFormat="1" ht="20.100000000000001" customHeight="1" x14ac:dyDescent="0.15">
      <c r="A128" s="137"/>
      <c r="B128" s="143"/>
      <c r="C128" s="289" t="s">
        <v>63</v>
      </c>
      <c r="D128" s="145">
        <f>'[1]결산추경예산내역-세출'!$E$124</f>
        <v>1823000</v>
      </c>
      <c r="E128" s="318">
        <f>I129+I130+I131+I133+I132</f>
        <v>1823000</v>
      </c>
      <c r="F128" s="146">
        <f>E128-D128</f>
        <v>0</v>
      </c>
      <c r="G128" s="147">
        <f t="shared" si="23"/>
        <v>100</v>
      </c>
      <c r="H128" s="154" t="s">
        <v>65</v>
      </c>
      <c r="I128" s="128"/>
      <c r="L128" s="118"/>
    </row>
    <row r="129" spans="1:12" s="43" customFormat="1" ht="20.100000000000001" customHeight="1" x14ac:dyDescent="0.15">
      <c r="A129" s="137"/>
      <c r="B129" s="143"/>
      <c r="C129" s="290"/>
      <c r="D129" s="150"/>
      <c r="E129" s="319"/>
      <c r="F129" s="152"/>
      <c r="G129" s="153"/>
      <c r="H129" s="154" t="s">
        <v>150</v>
      </c>
      <c r="I129" s="128">
        <f>500000*2</f>
        <v>1000000</v>
      </c>
      <c r="L129" s="118"/>
    </row>
    <row r="130" spans="1:12" s="43" customFormat="1" ht="20.100000000000001" customHeight="1" x14ac:dyDescent="0.15">
      <c r="A130" s="137"/>
      <c r="B130" s="143"/>
      <c r="C130" s="290"/>
      <c r="D130" s="150"/>
      <c r="E130" s="319"/>
      <c r="F130" s="152"/>
      <c r="G130" s="153"/>
      <c r="H130" s="154" t="s">
        <v>143</v>
      </c>
      <c r="I130" s="128">
        <f>28000*6</f>
        <v>168000</v>
      </c>
      <c r="L130" s="118"/>
    </row>
    <row r="131" spans="1:12" s="43" customFormat="1" ht="20.100000000000001" customHeight="1" x14ac:dyDescent="0.15">
      <c r="A131" s="137"/>
      <c r="B131" s="143"/>
      <c r="C131" s="290"/>
      <c r="D131" s="150"/>
      <c r="E131" s="319"/>
      <c r="F131" s="152"/>
      <c r="G131" s="153"/>
      <c r="H131" s="154" t="s">
        <v>243</v>
      </c>
      <c r="I131" s="128">
        <f>35000*1</f>
        <v>35000</v>
      </c>
      <c r="L131" s="118"/>
    </row>
    <row r="132" spans="1:12" s="43" customFormat="1" ht="20.100000000000001" customHeight="1" x14ac:dyDescent="0.15">
      <c r="A132" s="137"/>
      <c r="B132" s="143"/>
      <c r="C132" s="290"/>
      <c r="D132" s="150"/>
      <c r="E132" s="319"/>
      <c r="F132" s="152"/>
      <c r="G132" s="153"/>
      <c r="H132" s="154" t="s">
        <v>188</v>
      </c>
      <c r="I132" s="128">
        <f>500000*1</f>
        <v>500000</v>
      </c>
      <c r="K132" s="43">
        <v>158802</v>
      </c>
      <c r="L132" s="118"/>
    </row>
    <row r="133" spans="1:12" s="43" customFormat="1" ht="20.100000000000001" customHeight="1" x14ac:dyDescent="0.15">
      <c r="A133" s="157"/>
      <c r="B133" s="158"/>
      <c r="C133" s="292"/>
      <c r="D133" s="159"/>
      <c r="E133" s="320"/>
      <c r="F133" s="161"/>
      <c r="G133" s="162"/>
      <c r="H133" s="163" t="s">
        <v>187</v>
      </c>
      <c r="I133" s="164">
        <f>30000*4</f>
        <v>120000</v>
      </c>
      <c r="K133" s="43">
        <v>49593</v>
      </c>
      <c r="L133" s="118"/>
    </row>
    <row r="134" spans="1:12" s="43" customFormat="1" ht="20.100000000000001" customHeight="1" x14ac:dyDescent="0.15">
      <c r="A134" s="137"/>
      <c r="B134" s="143"/>
      <c r="C134" s="285" t="s">
        <v>72</v>
      </c>
      <c r="D134" s="150">
        <f>'[1]결산추경예산내역-세출'!$E$130</f>
        <v>800000</v>
      </c>
      <c r="E134" s="319">
        <f>I135+I136</f>
        <v>1200000</v>
      </c>
      <c r="F134" s="151">
        <f>E134-D134</f>
        <v>400000</v>
      </c>
      <c r="G134" s="165">
        <f t="shared" ref="G134" si="24">E134/D134*100</f>
        <v>150</v>
      </c>
      <c r="H134" s="154" t="s">
        <v>66</v>
      </c>
      <c r="I134" s="128"/>
      <c r="K134" s="43">
        <f>SUM(K132:K133)</f>
        <v>208395</v>
      </c>
      <c r="L134" s="118"/>
    </row>
    <row r="135" spans="1:12" s="43" customFormat="1" ht="20.100000000000001" customHeight="1" x14ac:dyDescent="0.15">
      <c r="A135" s="137"/>
      <c r="B135" s="143"/>
      <c r="C135" s="283"/>
      <c r="D135" s="150"/>
      <c r="E135" s="319"/>
      <c r="F135" s="152"/>
      <c r="G135" s="153"/>
      <c r="H135" s="154" t="s">
        <v>133</v>
      </c>
      <c r="I135" s="128">
        <f>200000*2</f>
        <v>400000</v>
      </c>
      <c r="K135" s="43">
        <f>K132-K133</f>
        <v>109209</v>
      </c>
      <c r="L135" s="118"/>
    </row>
    <row r="136" spans="1:12" s="188" customFormat="1" ht="20.100000000000001" customHeight="1" x14ac:dyDescent="0.15">
      <c r="A136" s="137"/>
      <c r="B136" s="178"/>
      <c r="C136" s="286"/>
      <c r="D136" s="169"/>
      <c r="E136" s="321"/>
      <c r="F136" s="179"/>
      <c r="G136" s="173"/>
      <c r="H136" s="185" t="s">
        <v>225</v>
      </c>
      <c r="I136" s="174">
        <f>200000*4</f>
        <v>800000</v>
      </c>
      <c r="L136" s="189"/>
    </row>
    <row r="137" spans="1:12" s="43" customFormat="1" ht="20.100000000000001" customHeight="1" x14ac:dyDescent="0.15">
      <c r="A137" s="166"/>
      <c r="B137" s="143"/>
      <c r="C137" s="283" t="s">
        <v>67</v>
      </c>
      <c r="D137" s="150">
        <f>'[1]결산추경예산내역-세출'!$E$133</f>
        <v>200000</v>
      </c>
      <c r="E137" s="319">
        <f>I138</f>
        <v>200000</v>
      </c>
      <c r="F137" s="151">
        <f>E137-D137</f>
        <v>0</v>
      </c>
      <c r="G137" s="165">
        <f t="shared" ref="G137:G139" si="25">E137/D137*100</f>
        <v>100</v>
      </c>
      <c r="H137" s="154" t="s">
        <v>67</v>
      </c>
      <c r="I137" s="128"/>
      <c r="L137" s="118"/>
    </row>
    <row r="138" spans="1:12" s="43" customFormat="1" ht="20.100000000000001" customHeight="1" x14ac:dyDescent="0.15">
      <c r="A138" s="193"/>
      <c r="B138" s="178"/>
      <c r="C138" s="286"/>
      <c r="D138" s="169"/>
      <c r="E138" s="321"/>
      <c r="F138" s="151">
        <f t="shared" ref="F138:F139" si="26">E138-D138</f>
        <v>0</v>
      </c>
      <c r="G138" s="191"/>
      <c r="H138" s="185" t="s">
        <v>134</v>
      </c>
      <c r="I138" s="174">
        <f>100000*2</f>
        <v>200000</v>
      </c>
      <c r="L138" s="118"/>
    </row>
    <row r="139" spans="1:12" s="43" customFormat="1" ht="20.100000000000001" customHeight="1" x14ac:dyDescent="0.15">
      <c r="A139" s="129" t="s">
        <v>68</v>
      </c>
      <c r="B139" s="209"/>
      <c r="C139" s="287"/>
      <c r="D139" s="132">
        <v>178802</v>
      </c>
      <c r="E139" s="316">
        <f>E140</f>
        <v>155456</v>
      </c>
      <c r="F139" s="140">
        <f t="shared" si="26"/>
        <v>-23346</v>
      </c>
      <c r="G139" s="165">
        <f t="shared" si="25"/>
        <v>86.943099070480201</v>
      </c>
      <c r="H139" s="182" t="s">
        <v>68</v>
      </c>
      <c r="I139" s="135"/>
      <c r="L139" s="118"/>
    </row>
    <row r="140" spans="1:12" s="43" customFormat="1" ht="20.100000000000001" customHeight="1" x14ac:dyDescent="0.15">
      <c r="A140" s="210"/>
      <c r="B140" s="211" t="s">
        <v>68</v>
      </c>
      <c r="C140" s="284"/>
      <c r="D140" s="139">
        <v>178802</v>
      </c>
      <c r="E140" s="317">
        <f>E141+E143</f>
        <v>155456</v>
      </c>
      <c r="F140" s="146">
        <f t="shared" si="0"/>
        <v>-23346</v>
      </c>
      <c r="G140" s="205">
        <f t="shared" ref="G140:G143" si="27">E140/D140*100</f>
        <v>86.943099070480201</v>
      </c>
      <c r="H140" s="182" t="s">
        <v>68</v>
      </c>
      <c r="I140" s="135"/>
      <c r="L140" s="118"/>
    </row>
    <row r="141" spans="1:12" s="43" customFormat="1" ht="20.100000000000001" customHeight="1" x14ac:dyDescent="0.15">
      <c r="A141" s="166"/>
      <c r="B141" s="143"/>
      <c r="C141" s="283" t="s">
        <v>69</v>
      </c>
      <c r="D141" s="150">
        <v>158802</v>
      </c>
      <c r="E141" s="319">
        <f>I142</f>
        <v>135456</v>
      </c>
      <c r="F141" s="146">
        <f t="shared" si="0"/>
        <v>-23346</v>
      </c>
      <c r="G141" s="184">
        <f t="shared" si="27"/>
        <v>85.29867382022897</v>
      </c>
      <c r="H141" s="203" t="s">
        <v>69</v>
      </c>
      <c r="I141" s="128"/>
      <c r="L141" s="118"/>
    </row>
    <row r="142" spans="1:12" s="43" customFormat="1" ht="20.100000000000001" customHeight="1" x14ac:dyDescent="0.15">
      <c r="A142" s="137"/>
      <c r="B142" s="176"/>
      <c r="C142" s="286"/>
      <c r="D142" s="169"/>
      <c r="E142" s="321"/>
      <c r="F142" s="181"/>
      <c r="G142" s="141"/>
      <c r="H142" s="212" t="s">
        <v>268</v>
      </c>
      <c r="I142" s="174">
        <f>135456*1</f>
        <v>135456</v>
      </c>
      <c r="K142" s="119"/>
      <c r="L142" s="118"/>
    </row>
    <row r="143" spans="1:12" s="43" customFormat="1" ht="20.100000000000001" customHeight="1" x14ac:dyDescent="0.15">
      <c r="A143" s="137"/>
      <c r="B143" s="176"/>
      <c r="C143" s="282" t="s">
        <v>123</v>
      </c>
      <c r="D143" s="145">
        <f>'[1]결산추경예산내역-세출'!$E$139</f>
        <v>20000</v>
      </c>
      <c r="E143" s="318">
        <f>I144</f>
        <v>20000</v>
      </c>
      <c r="F143" s="146">
        <f t="shared" si="0"/>
        <v>0</v>
      </c>
      <c r="G143" s="257">
        <f t="shared" si="27"/>
        <v>100</v>
      </c>
      <c r="H143" s="198" t="s">
        <v>123</v>
      </c>
      <c r="I143" s="128"/>
      <c r="L143" s="118"/>
    </row>
    <row r="144" spans="1:12" s="188" customFormat="1" ht="20.100000000000001" customHeight="1" x14ac:dyDescent="0.15">
      <c r="A144" s="213"/>
      <c r="B144" s="158"/>
      <c r="C144" s="288"/>
      <c r="D144" s="159"/>
      <c r="E144" s="320"/>
      <c r="F144" s="160"/>
      <c r="G144" s="187"/>
      <c r="H144" s="163" t="s">
        <v>267</v>
      </c>
      <c r="I144" s="164">
        <f>20000*1</f>
        <v>20000</v>
      </c>
      <c r="L144" s="189"/>
    </row>
    <row r="145" spans="4:4" x14ac:dyDescent="0.15">
      <c r="D145" s="108"/>
    </row>
    <row r="146" spans="4:4" x14ac:dyDescent="0.15">
      <c r="D146" s="108"/>
    </row>
    <row r="147" spans="4:4" x14ac:dyDescent="0.15">
      <c r="D147" s="108"/>
    </row>
    <row r="148" spans="4:4" x14ac:dyDescent="0.15">
      <c r="D148" s="108"/>
    </row>
    <row r="149" spans="4:4" x14ac:dyDescent="0.15">
      <c r="D149" s="108"/>
    </row>
    <row r="150" spans="4:4" x14ac:dyDescent="0.15">
      <c r="D150" s="108"/>
    </row>
    <row r="151" spans="4:4" x14ac:dyDescent="0.15">
      <c r="D151" s="108"/>
    </row>
  </sheetData>
  <customSheetViews>
    <customSheetView guid="{29BE6789-D580-482F-AE13-9E62D887C1AB}" showPageBreaks="1" printArea="1" view="pageBreakPreview" topLeftCell="A126">
      <selection activeCell="E140" sqref="E140"/>
      <rowBreaks count="5" manualBreakCount="5">
        <brk id="25" max="8" man="1"/>
        <brk id="49" max="8" man="1"/>
        <brk id="72" max="8" man="1"/>
        <brk id="95" max="8" man="1"/>
        <brk id="118" max="8" man="1"/>
      </rowBreaks>
      <pageMargins left="0.94488188976377963" right="0.74803149606299213" top="0.98425196850393704" bottom="0.98425196850393704" header="0.51181102362204722" footer="0.51181102362204722"/>
      <printOptions horizontalCentered="1"/>
      <pageSetup paperSize="9" scale="74" firstPageNumber="3" orientation="landscape" useFirstPageNumber="1" r:id="rId1"/>
      <headerFooter alignWithMargins="0">
        <oddFooter xml:space="preserve">&amp;R참좋은 기억학교(2022.02.14)
</oddFooter>
      </headerFooter>
    </customSheetView>
  </customSheetViews>
  <mergeCells count="16">
    <mergeCell ref="A1:H1"/>
    <mergeCell ref="C123:C124"/>
    <mergeCell ref="F4:G4"/>
    <mergeCell ref="H4:I5"/>
    <mergeCell ref="A6:C6"/>
    <mergeCell ref="H3:I3"/>
    <mergeCell ref="A79:A80"/>
    <mergeCell ref="A3:C3"/>
    <mergeCell ref="A4:C4"/>
    <mergeCell ref="D4:D5"/>
    <mergeCell ref="E4:E5"/>
    <mergeCell ref="C97:C98"/>
    <mergeCell ref="C55:C56"/>
    <mergeCell ref="C106:C107"/>
    <mergeCell ref="C108:C110"/>
    <mergeCell ref="C111:C112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71" firstPageNumber="3" fitToHeight="9" orientation="landscape" useFirstPageNumber="1" r:id="rId2"/>
  <headerFooter alignWithMargins="0">
    <oddFooter xml:space="preserve">&amp;R참좋은기억학교(2023.02.13.)
</oddFooter>
  </headerFooter>
  <rowBreaks count="5" manualBreakCount="5">
    <brk id="25" max="8" man="1"/>
    <brk id="51" max="8" man="1"/>
    <brk id="77" max="8" man="1"/>
    <brk id="105" max="8" man="1"/>
    <brk id="1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11.77734375" style="51" customWidth="1"/>
    <col min="2" max="2" width="13.44140625" style="51" customWidth="1"/>
    <col min="3" max="3" width="15.6640625" style="52" customWidth="1"/>
    <col min="4" max="4" width="12.88671875" style="75" customWidth="1"/>
    <col min="5" max="5" width="12.77734375" style="75" customWidth="1"/>
    <col min="6" max="6" width="12.88671875" style="75" customWidth="1"/>
    <col min="7" max="7" width="10.44140625" style="51" bestFit="1" customWidth="1"/>
    <col min="8" max="8" width="12.44140625" style="51" bestFit="1" customWidth="1"/>
    <col min="9" max="16384" width="8.88671875" style="51"/>
  </cols>
  <sheetData>
    <row r="1" spans="1:9" ht="46.5" customHeight="1" x14ac:dyDescent="0.15">
      <c r="A1" s="418" t="s">
        <v>263</v>
      </c>
      <c r="B1" s="419"/>
      <c r="C1" s="419"/>
      <c r="D1" s="419"/>
      <c r="E1" s="419"/>
      <c r="F1" s="420"/>
    </row>
    <row r="2" spans="1:9" ht="23.1" customHeight="1" x14ac:dyDescent="0.15">
      <c r="A2" s="424" t="s">
        <v>124</v>
      </c>
      <c r="B2" s="425"/>
      <c r="C2" s="81"/>
      <c r="D2" s="82"/>
      <c r="E2" s="82"/>
      <c r="F2" s="87"/>
    </row>
    <row r="3" spans="1:9" ht="23.1" customHeight="1" x14ac:dyDescent="0.15">
      <c r="A3" s="426" t="s">
        <v>125</v>
      </c>
      <c r="B3" s="427"/>
      <c r="C3" s="72"/>
      <c r="D3" s="73"/>
      <c r="E3" s="74"/>
      <c r="F3" s="88" t="s">
        <v>126</v>
      </c>
    </row>
    <row r="4" spans="1:9" ht="23.1" customHeight="1" thickBot="1" x14ac:dyDescent="0.2">
      <c r="A4" s="89" t="s">
        <v>2</v>
      </c>
      <c r="B4" s="78" t="s">
        <v>3</v>
      </c>
      <c r="C4" s="78" t="s">
        <v>17</v>
      </c>
      <c r="D4" s="79" t="s">
        <v>270</v>
      </c>
      <c r="E4" s="79" t="s">
        <v>262</v>
      </c>
      <c r="F4" s="90" t="s">
        <v>95</v>
      </c>
    </row>
    <row r="5" spans="1:9" ht="20.100000000000001" customHeight="1" thickTop="1" x14ac:dyDescent="0.15">
      <c r="A5" s="421" t="s">
        <v>93</v>
      </c>
      <c r="B5" s="422"/>
      <c r="C5" s="423"/>
      <c r="D5" s="77">
        <f>'1차추경예산내역-세입'!D6</f>
        <v>437335000</v>
      </c>
      <c r="E5" s="77">
        <f>'1차추경예산내역-세입'!E6</f>
        <v>440000000</v>
      </c>
      <c r="F5" s="91">
        <f t="shared" ref="F5" si="0">E5-D5</f>
        <v>2665000</v>
      </c>
      <c r="G5" s="75"/>
      <c r="H5" s="279"/>
    </row>
    <row r="6" spans="1:9" ht="20.100000000000001" customHeight="1" x14ac:dyDescent="0.15">
      <c r="A6" s="92" t="s">
        <v>114</v>
      </c>
      <c r="B6" s="54" t="s">
        <v>114</v>
      </c>
      <c r="C6" s="54" t="s">
        <v>120</v>
      </c>
      <c r="D6" s="53">
        <f>'1차추경예산내역-세입'!D11</f>
        <v>368616944</v>
      </c>
      <c r="E6" s="53">
        <f>'1차추경예산내역-세입'!E11</f>
        <v>370064348</v>
      </c>
      <c r="F6" s="93">
        <f t="shared" ref="F6" si="1">E6-D6</f>
        <v>1447404</v>
      </c>
      <c r="G6" s="75"/>
      <c r="H6" s="75"/>
    </row>
    <row r="7" spans="1:9" ht="20.100000000000001" customHeight="1" x14ac:dyDescent="0.15">
      <c r="A7" s="94"/>
      <c r="B7" s="70"/>
      <c r="C7" s="70"/>
      <c r="D7" s="412" t="s">
        <v>245</v>
      </c>
      <c r="E7" s="413"/>
      <c r="F7" s="414"/>
    </row>
    <row r="8" spans="1:9" ht="20.100000000000001" customHeight="1" x14ac:dyDescent="0.15">
      <c r="A8" s="297" t="str">
        <f>'1차추경예산내역-세입'!A23:C23</f>
        <v>전입금</v>
      </c>
      <c r="B8" s="55" t="str">
        <f>'1차추경예산내역-세입'!B24:C24</f>
        <v>전입금</v>
      </c>
      <c r="C8" s="55" t="str">
        <f>'1차추경예산내역-세입'!C25</f>
        <v>법인전입금(후원금)</v>
      </c>
      <c r="D8" s="298">
        <f>'1차추경예산내역-세입'!D25</f>
        <v>3200000</v>
      </c>
      <c r="E8" s="299">
        <v>0</v>
      </c>
      <c r="F8" s="100">
        <f t="shared" ref="F8:F10" si="2">E8-D8</f>
        <v>-3200000</v>
      </c>
      <c r="H8" s="75"/>
    </row>
    <row r="9" spans="1:9" ht="20.100000000000001" customHeight="1" x14ac:dyDescent="0.15">
      <c r="A9" s="297"/>
      <c r="B9" s="55"/>
      <c r="C9" s="55"/>
      <c r="D9" s="412" t="s">
        <v>271</v>
      </c>
      <c r="E9" s="413"/>
      <c r="F9" s="414"/>
    </row>
    <row r="10" spans="1:9" ht="20.100000000000001" customHeight="1" x14ac:dyDescent="0.15">
      <c r="A10" s="92" t="s">
        <v>24</v>
      </c>
      <c r="B10" s="54" t="s">
        <v>36</v>
      </c>
      <c r="C10" s="54" t="s">
        <v>36</v>
      </c>
      <c r="D10" s="85">
        <f>'1차추경예산내역-세입'!D30</f>
        <v>5467956</v>
      </c>
      <c r="E10" s="85">
        <f>'1차추경예산내역-세입'!E30</f>
        <v>8021189</v>
      </c>
      <c r="F10" s="95">
        <f t="shared" si="2"/>
        <v>2553233</v>
      </c>
      <c r="I10" s="75"/>
    </row>
    <row r="11" spans="1:9" ht="20.100000000000001" customHeight="1" x14ac:dyDescent="0.15">
      <c r="A11" s="94"/>
      <c r="B11" s="55"/>
      <c r="C11" s="55"/>
      <c r="D11" s="294" t="s">
        <v>275</v>
      </c>
      <c r="E11" s="295"/>
      <c r="F11" s="296"/>
    </row>
    <row r="12" spans="1:9" ht="20.100000000000001" customHeight="1" x14ac:dyDescent="0.15">
      <c r="A12" s="106" t="s">
        <v>21</v>
      </c>
      <c r="B12" s="39" t="s">
        <v>22</v>
      </c>
      <c r="C12" s="39" t="s">
        <v>22</v>
      </c>
      <c r="D12" s="85">
        <f>'1차추경예산내역-세입'!D34</f>
        <v>12000000</v>
      </c>
      <c r="E12" s="85">
        <f>'1차추경예산내역-세입'!E34</f>
        <v>13864363</v>
      </c>
      <c r="F12" s="100">
        <f t="shared" ref="F12" si="3">E12-D12</f>
        <v>1864363</v>
      </c>
    </row>
    <row r="13" spans="1:9" ht="23.25" customHeight="1" x14ac:dyDescent="0.15">
      <c r="A13" s="96"/>
      <c r="B13" s="71"/>
      <c r="C13" s="71"/>
      <c r="D13" s="415" t="s">
        <v>246</v>
      </c>
      <c r="E13" s="416"/>
      <c r="F13" s="417"/>
    </row>
    <row r="14" spans="1:9" ht="23.1" customHeight="1" x14ac:dyDescent="0.15">
      <c r="A14" s="97"/>
      <c r="B14" s="56"/>
      <c r="D14" s="57"/>
      <c r="E14" s="58"/>
      <c r="F14" s="98"/>
    </row>
    <row r="15" spans="1:9" ht="23.1" customHeight="1" x14ac:dyDescent="0.15">
      <c r="A15" s="426" t="s">
        <v>127</v>
      </c>
      <c r="B15" s="427"/>
      <c r="D15" s="57"/>
      <c r="E15" s="58"/>
      <c r="F15" s="98" t="s">
        <v>126</v>
      </c>
    </row>
    <row r="16" spans="1:9" ht="23.1" customHeight="1" thickBot="1" x14ac:dyDescent="0.2">
      <c r="A16" s="89" t="s">
        <v>2</v>
      </c>
      <c r="B16" s="78" t="s">
        <v>3</v>
      </c>
      <c r="C16" s="78" t="s">
        <v>17</v>
      </c>
      <c r="D16" s="79" t="s">
        <v>270</v>
      </c>
      <c r="E16" s="79" t="s">
        <v>262</v>
      </c>
      <c r="F16" s="90" t="s">
        <v>95</v>
      </c>
    </row>
    <row r="17" spans="1:8" ht="20.100000000000001" customHeight="1" thickTop="1" x14ac:dyDescent="0.15">
      <c r="A17" s="421" t="s">
        <v>94</v>
      </c>
      <c r="B17" s="422"/>
      <c r="C17" s="423"/>
      <c r="D17" s="60">
        <f>'1차추경예산내역-세출'!D6</f>
        <v>437335000</v>
      </c>
      <c r="E17" s="60">
        <f>'1차추경예산내역-세출'!E6</f>
        <v>440000000.47373056</v>
      </c>
      <c r="F17" s="91">
        <f t="shared" ref="F17" si="4">E17-D17</f>
        <v>2665000.4737305641</v>
      </c>
      <c r="G17" s="75"/>
      <c r="H17" s="75"/>
    </row>
    <row r="18" spans="1:8" ht="20.100000000000001" customHeight="1" x14ac:dyDescent="0.15">
      <c r="A18" s="99" t="str">
        <f>[2]세출!B8</f>
        <v>사무비</v>
      </c>
      <c r="B18" s="67" t="str">
        <f>[2]세출!C9</f>
        <v>인건비</v>
      </c>
      <c r="C18" s="67" t="str">
        <f>[2]세출!D10</f>
        <v>급여</v>
      </c>
      <c r="D18" s="53">
        <f>'1차추경예산내역-세출'!D9</f>
        <v>257430200</v>
      </c>
      <c r="E18" s="53">
        <f>'1차추경예산내역-세출'!E9</f>
        <v>256254900</v>
      </c>
      <c r="F18" s="100">
        <f t="shared" ref="F18:F24" si="5">E18-D18</f>
        <v>-1175300</v>
      </c>
      <c r="G18" s="75"/>
      <c r="H18" s="75"/>
    </row>
    <row r="19" spans="1:8" ht="20.100000000000001" customHeight="1" x14ac:dyDescent="0.15">
      <c r="A19" s="101"/>
      <c r="B19" s="68"/>
      <c r="C19" s="68"/>
      <c r="D19" s="412" t="s">
        <v>253</v>
      </c>
      <c r="E19" s="413"/>
      <c r="F19" s="414"/>
      <c r="G19" s="75"/>
      <c r="H19" s="75"/>
    </row>
    <row r="20" spans="1:8" ht="20.100000000000001" customHeight="1" x14ac:dyDescent="0.15">
      <c r="A20" s="101"/>
      <c r="B20" s="68"/>
      <c r="C20" s="67" t="str">
        <f>[2]세출!D27</f>
        <v>제수당</v>
      </c>
      <c r="D20" s="53">
        <f>'1차추경예산내역-세출'!D26</f>
        <v>34739468</v>
      </c>
      <c r="E20" s="53">
        <f>'1차추경예산내역-세출'!E26</f>
        <v>35437070</v>
      </c>
      <c r="F20" s="102">
        <f t="shared" si="5"/>
        <v>697602</v>
      </c>
    </row>
    <row r="21" spans="1:8" ht="20.100000000000001" customHeight="1" x14ac:dyDescent="0.15">
      <c r="A21" s="101"/>
      <c r="B21" s="68"/>
      <c r="C21" s="68"/>
      <c r="D21" s="412" t="s">
        <v>254</v>
      </c>
      <c r="E21" s="413"/>
      <c r="F21" s="414"/>
    </row>
    <row r="22" spans="1:8" ht="20.100000000000001" customHeight="1" x14ac:dyDescent="0.15">
      <c r="A22" s="101"/>
      <c r="B22" s="68"/>
      <c r="C22" s="59" t="str">
        <f>[2]세출!D42</f>
        <v>퇴직금및퇴직적립금</v>
      </c>
      <c r="D22" s="53">
        <f>'1차추경예산내역-세출'!D35</f>
        <v>24005510</v>
      </c>
      <c r="E22" s="53">
        <f>'1차추경예산내역-세출'!E35</f>
        <v>24280594.166666668</v>
      </c>
      <c r="F22" s="103">
        <f t="shared" si="5"/>
        <v>275084.16666666791</v>
      </c>
    </row>
    <row r="23" spans="1:8" ht="20.100000000000001" customHeight="1" x14ac:dyDescent="0.15">
      <c r="A23" s="101"/>
      <c r="B23" s="68"/>
      <c r="C23" s="64"/>
      <c r="D23" s="412" t="s">
        <v>247</v>
      </c>
      <c r="E23" s="413"/>
      <c r="F23" s="414"/>
    </row>
    <row r="24" spans="1:8" ht="20.100000000000001" customHeight="1" x14ac:dyDescent="0.15">
      <c r="A24" s="101"/>
      <c r="B24" s="55"/>
      <c r="C24" s="67" t="str">
        <f>[3]세출!D39</f>
        <v>사회보험부담금</v>
      </c>
      <c r="D24" s="53">
        <f>'1차추경예산내역-세출'!D37</f>
        <v>29300824</v>
      </c>
      <c r="E24" s="53">
        <f>'1차추경예산내역-세출'!E37</f>
        <v>29751784.307063852</v>
      </c>
      <c r="F24" s="103">
        <f t="shared" si="5"/>
        <v>450960.30706385151</v>
      </c>
    </row>
    <row r="25" spans="1:8" ht="19.5" customHeight="1" x14ac:dyDescent="0.15">
      <c r="A25" s="101"/>
      <c r="B25" s="55"/>
      <c r="C25" s="68"/>
      <c r="D25" s="412" t="s">
        <v>255</v>
      </c>
      <c r="E25" s="413"/>
      <c r="F25" s="414"/>
    </row>
    <row r="26" spans="1:8" ht="19.5" customHeight="1" x14ac:dyDescent="0.15">
      <c r="A26" s="101"/>
      <c r="B26" s="54" t="s">
        <v>49</v>
      </c>
      <c r="C26" s="67" t="s">
        <v>51</v>
      </c>
      <c r="D26" s="111">
        <f>'1차추경예산내역-세출'!D55</f>
        <v>13304000</v>
      </c>
      <c r="E26" s="107">
        <f>'1차추경예산내역-세출'!E55</f>
        <v>15759200</v>
      </c>
      <c r="F26" s="274">
        <f t="shared" ref="F26" si="6">E26-D26</f>
        <v>2455200</v>
      </c>
    </row>
    <row r="27" spans="1:8" ht="19.5" customHeight="1" x14ac:dyDescent="0.15">
      <c r="A27" s="97"/>
      <c r="B27" s="55"/>
      <c r="C27" s="68"/>
      <c r="D27" s="412" t="s">
        <v>258</v>
      </c>
      <c r="E27" s="413"/>
      <c r="F27" s="414"/>
    </row>
    <row r="28" spans="1:8" ht="19.5" customHeight="1" x14ac:dyDescent="0.15">
      <c r="A28" s="101"/>
      <c r="B28" s="55"/>
      <c r="C28" s="67" t="str">
        <f>'1차추경예산내역-세출'!C62</f>
        <v>공공요금</v>
      </c>
      <c r="D28" s="273">
        <f>'1차추경예산내역-세출'!D62</f>
        <v>5640000</v>
      </c>
      <c r="E28" s="273">
        <f>'1차추경예산내역-세출'!E62</f>
        <v>6840000</v>
      </c>
      <c r="F28" s="110">
        <f>E28-D28</f>
        <v>1200000</v>
      </c>
    </row>
    <row r="29" spans="1:8" ht="19.5" customHeight="1" x14ac:dyDescent="0.15">
      <c r="A29" s="97"/>
      <c r="B29" s="55"/>
      <c r="C29" s="68"/>
      <c r="D29" s="412" t="s">
        <v>249</v>
      </c>
      <c r="E29" s="413"/>
      <c r="F29" s="414"/>
    </row>
    <row r="30" spans="1:8" ht="19.5" customHeight="1" x14ac:dyDescent="0.15">
      <c r="A30" s="305" t="s">
        <v>27</v>
      </c>
      <c r="B30" s="39" t="s">
        <v>28</v>
      </c>
      <c r="C30" s="67" t="s">
        <v>252</v>
      </c>
      <c r="D30" s="278">
        <f>'1차추경예산내역-세출'!D80</f>
        <v>5815196</v>
      </c>
      <c r="E30" s="278">
        <f>'1차추경예산내역-세출'!E80</f>
        <v>3359996</v>
      </c>
      <c r="F30" s="274">
        <f t="shared" ref="F30" si="7">E30-D30</f>
        <v>-2455200</v>
      </c>
    </row>
    <row r="31" spans="1:8" ht="19.5" customHeight="1" x14ac:dyDescent="0.15">
      <c r="A31" s="101"/>
      <c r="B31" s="306"/>
      <c r="C31" s="309"/>
      <c r="D31" s="412" t="s">
        <v>257</v>
      </c>
      <c r="E31" s="413"/>
      <c r="F31" s="414"/>
    </row>
    <row r="32" spans="1:8" ht="19.5" customHeight="1" x14ac:dyDescent="0.15">
      <c r="A32" s="303"/>
      <c r="B32" s="307"/>
      <c r="C32" s="67" t="str">
        <f>'1차추경예산내역-세출'!C83</f>
        <v>시설장비유지비</v>
      </c>
      <c r="D32" s="278">
        <f>'1차추경예산내역-세출'!D83</f>
        <v>850000</v>
      </c>
      <c r="E32" s="278">
        <f>'1차추경예산내역-세출'!E83</f>
        <v>1350000</v>
      </c>
      <c r="F32" s="274">
        <f t="shared" ref="F32" si="8">E32-D32</f>
        <v>500000</v>
      </c>
    </row>
    <row r="33" spans="1:8" ht="19.5" customHeight="1" x14ac:dyDescent="0.15">
      <c r="A33" s="302"/>
      <c r="B33" s="70"/>
      <c r="C33" s="308"/>
      <c r="D33" s="412" t="s">
        <v>266</v>
      </c>
      <c r="E33" s="413"/>
      <c r="F33" s="414"/>
    </row>
    <row r="34" spans="1:8" ht="19.5" customHeight="1" x14ac:dyDescent="0.15">
      <c r="A34" s="99" t="s">
        <v>259</v>
      </c>
      <c r="B34" s="54" t="s">
        <v>195</v>
      </c>
      <c r="C34" s="67" t="s">
        <v>102</v>
      </c>
      <c r="D34" s="276">
        <f>'1차추경예산내역-세출'!D97</f>
        <v>3120000</v>
      </c>
      <c r="E34" s="275">
        <f>'1차추경예산내역-세출'!E97</f>
        <v>2760000</v>
      </c>
      <c r="F34" s="110">
        <f t="shared" ref="F34" si="9">E34-D34</f>
        <v>-360000</v>
      </c>
    </row>
    <row r="35" spans="1:8" ht="19.5" customHeight="1" x14ac:dyDescent="0.15">
      <c r="A35" s="97"/>
      <c r="B35" s="55"/>
      <c r="C35" s="68"/>
      <c r="D35" s="412" t="s">
        <v>250</v>
      </c>
      <c r="E35" s="413"/>
      <c r="F35" s="414"/>
    </row>
    <row r="36" spans="1:8" ht="19.5" customHeight="1" x14ac:dyDescent="0.15">
      <c r="A36" s="101"/>
      <c r="B36" s="55"/>
      <c r="C36" s="67" t="str">
        <f>'1차추경예산내역-세출'!C111</f>
        <v>특별사업지원사업비</v>
      </c>
      <c r="D36" s="111">
        <f>'1차추경예산내역-세출'!D111</f>
        <v>4320000</v>
      </c>
      <c r="E36" s="276">
        <f>'1차추경예산내역-세출'!E111</f>
        <v>4620000</v>
      </c>
      <c r="F36" s="274">
        <f t="shared" ref="F36" si="10">E36-D36</f>
        <v>300000</v>
      </c>
    </row>
    <row r="37" spans="1:8" ht="19.5" customHeight="1" x14ac:dyDescent="0.15">
      <c r="A37" s="97"/>
      <c r="B37" s="55"/>
      <c r="C37" s="68"/>
      <c r="D37" s="412" t="s">
        <v>196</v>
      </c>
      <c r="E37" s="413"/>
      <c r="F37" s="414"/>
    </row>
    <row r="38" spans="1:8" ht="19.5" customHeight="1" x14ac:dyDescent="0.15">
      <c r="A38" s="101"/>
      <c r="B38" s="55"/>
      <c r="C38" s="67" t="s">
        <v>260</v>
      </c>
      <c r="D38" s="111">
        <f>'1차추경예산내역-세출'!D95</f>
        <v>600000</v>
      </c>
      <c r="E38" s="111">
        <f>'1차추경예산내역-세출'!E95</f>
        <v>1000000</v>
      </c>
      <c r="F38" s="274">
        <f t="shared" ref="F38" si="11">E38-D38</f>
        <v>400000</v>
      </c>
    </row>
    <row r="39" spans="1:8" ht="19.5" customHeight="1" x14ac:dyDescent="0.15">
      <c r="A39" s="97"/>
      <c r="B39" s="55"/>
      <c r="C39" s="68"/>
      <c r="D39" s="412" t="s">
        <v>261</v>
      </c>
      <c r="E39" s="413"/>
      <c r="F39" s="414"/>
    </row>
    <row r="40" spans="1:8" ht="19.5" customHeight="1" x14ac:dyDescent="0.15">
      <c r="A40" s="106" t="s">
        <v>56</v>
      </c>
      <c r="B40" s="39" t="s">
        <v>61</v>
      </c>
      <c r="C40" s="67" t="s">
        <v>251</v>
      </c>
      <c r="D40" s="278">
        <f>'1차추경예산내역-세출'!D134</f>
        <v>800000</v>
      </c>
      <c r="E40" s="278">
        <f>'1차추경예산내역-세출'!E134</f>
        <v>1200000</v>
      </c>
      <c r="F40" s="274">
        <f t="shared" ref="F40" si="12">E40-D40</f>
        <v>400000</v>
      </c>
    </row>
    <row r="41" spans="1:8" ht="19.5" customHeight="1" x14ac:dyDescent="0.15">
      <c r="A41" s="310"/>
      <c r="B41" s="304"/>
      <c r="C41" s="309"/>
      <c r="D41" s="412" t="s">
        <v>256</v>
      </c>
      <c r="E41" s="413"/>
      <c r="F41" s="414"/>
    </row>
    <row r="42" spans="1:8" ht="20.100000000000001" customHeight="1" x14ac:dyDescent="0.15">
      <c r="A42" s="106" t="s">
        <v>68</v>
      </c>
      <c r="B42" s="39" t="s">
        <v>68</v>
      </c>
      <c r="C42" s="67" t="s">
        <v>69</v>
      </c>
      <c r="D42" s="277">
        <f>'1차추경예산내역-세출'!D139</f>
        <v>178802</v>
      </c>
      <c r="E42" s="277">
        <f>'1차추경예산내역-세출'!E139</f>
        <v>155456</v>
      </c>
      <c r="F42" s="274">
        <f t="shared" ref="F42" si="13">E42-D42</f>
        <v>-23346</v>
      </c>
      <c r="G42" s="75"/>
      <c r="H42" s="75"/>
    </row>
    <row r="43" spans="1:8" ht="20.100000000000001" customHeight="1" x14ac:dyDescent="0.15">
      <c r="A43" s="313"/>
      <c r="B43" s="312"/>
      <c r="C43" s="311"/>
      <c r="D43" s="415" t="s">
        <v>248</v>
      </c>
      <c r="E43" s="416"/>
      <c r="F43" s="417"/>
      <c r="G43" s="75"/>
      <c r="H43" s="75"/>
    </row>
    <row r="44" spans="1:8" ht="23.1" customHeight="1" x14ac:dyDescent="0.15">
      <c r="A44" s="62"/>
      <c r="B44" s="52"/>
      <c r="D44" s="58"/>
      <c r="E44" s="58"/>
      <c r="F44" s="63"/>
    </row>
    <row r="45" spans="1:8" ht="23.1" customHeight="1" x14ac:dyDescent="0.15"/>
    <row r="46" spans="1:8" ht="23.1" customHeight="1" x14ac:dyDescent="0.15"/>
    <row r="47" spans="1:8" ht="23.1" customHeight="1" x14ac:dyDescent="0.15"/>
    <row r="48" spans="1:8" ht="23.1" customHeight="1" x14ac:dyDescent="0.15"/>
    <row r="49" ht="23.1" customHeight="1" x14ac:dyDescent="0.15"/>
    <row r="50" ht="23.1" customHeight="1" x14ac:dyDescent="0.15"/>
    <row r="51" ht="23.1" customHeight="1" x14ac:dyDescent="0.15"/>
  </sheetData>
  <customSheetViews>
    <customSheetView guid="{29BE6789-D580-482F-AE13-9E62D887C1AB}" showPageBreaks="1" printArea="1" view="pageBreakPreview" topLeftCell="A16">
      <selection activeCell="D13" sqref="D13:F13"/>
      <pageMargins left="0.94488188976377963" right="0.74803149606299213" top="0.98425196850393704" bottom="0.98425196850393704" header="0.51181102362204722" footer="0.51181102362204722"/>
      <printOptions horizontalCentered="1"/>
      <pageSetup paperSize="9" scale="80" firstPageNumber="10" orientation="portrait" useFirstPageNumber="1" r:id="rId1"/>
      <headerFooter alignWithMargins="0">
        <oddFooter xml:space="preserve">&amp;R참좋은 기억학교(2022.02.14)
</oddFooter>
      </headerFooter>
    </customSheetView>
  </customSheetViews>
  <mergeCells count="22">
    <mergeCell ref="A1:F1"/>
    <mergeCell ref="A5:C5"/>
    <mergeCell ref="A17:C17"/>
    <mergeCell ref="D21:F21"/>
    <mergeCell ref="D19:F19"/>
    <mergeCell ref="D7:F7"/>
    <mergeCell ref="A2:B2"/>
    <mergeCell ref="A3:B3"/>
    <mergeCell ref="D13:F13"/>
    <mergeCell ref="A15:B15"/>
    <mergeCell ref="D9:F9"/>
    <mergeCell ref="D39:F39"/>
    <mergeCell ref="D43:F43"/>
    <mergeCell ref="D41:F41"/>
    <mergeCell ref="D23:F23"/>
    <mergeCell ref="D25:F25"/>
    <mergeCell ref="D35:F35"/>
    <mergeCell ref="D31:F31"/>
    <mergeCell ref="D29:F29"/>
    <mergeCell ref="D37:F37"/>
    <mergeCell ref="D27:F27"/>
    <mergeCell ref="D33:F33"/>
  </mergeCells>
  <phoneticPr fontId="2" type="noConversion"/>
  <printOptions horizontalCentered="1"/>
  <pageMargins left="0.94488188976377963" right="0.74803149606299213" top="0.98425196850393704" bottom="0.98425196850393704" header="0.51181102362204722" footer="0.51181102362204722"/>
  <pageSetup paperSize="9" scale="69" firstPageNumber="10" orientation="portrait" useFirstPageNumber="1" r:id="rId2"/>
  <headerFooter alignWithMargins="0">
    <oddFooter xml:space="preserve">&amp;R참좋은기억학교(2023.02.13.)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표지</vt:lpstr>
      <vt:lpstr>예산총칙</vt:lpstr>
      <vt:lpstr>1차추경예산총괄</vt:lpstr>
      <vt:lpstr>1차추경예산내역-세입</vt:lpstr>
      <vt:lpstr>1차추경예산내역-세출</vt:lpstr>
      <vt:lpstr>1차추경 변경사유서</vt:lpstr>
      <vt:lpstr>'1차추경 변경사유서'!Print_Area</vt:lpstr>
      <vt:lpstr>'1차추경예산내역-세입'!Print_Area</vt:lpstr>
      <vt:lpstr>'1차추경예산내역-세출'!Print_Area</vt:lpstr>
      <vt:lpstr>'1차추경예산총괄'!Print_Area</vt:lpstr>
      <vt:lpstr>예산총칙!Print_Area</vt:lpstr>
      <vt:lpstr>표지!Print_Area</vt:lpstr>
      <vt:lpstr>'1차추경 변경사유서'!Print_Titles</vt:lpstr>
      <vt:lpstr>'1차추경예산내역-세입'!Print_Titles</vt:lpstr>
      <vt:lpstr>'1차추경예산내역-세출'!Print_Titles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Administrator</cp:lastModifiedBy>
  <cp:lastPrinted>2023-02-08T07:57:21Z</cp:lastPrinted>
  <dcterms:created xsi:type="dcterms:W3CDTF">2016-12-07T07:13:09Z</dcterms:created>
  <dcterms:modified xsi:type="dcterms:W3CDTF">2023-02-15T08:56:36Z</dcterms:modified>
</cp:coreProperties>
</file>