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00" yWindow="45" windowWidth="19230" windowHeight="13740" activeTab="4"/>
  </bookViews>
  <sheets>
    <sheet name="표지" sheetId="5" r:id="rId1"/>
    <sheet name="예산총칙" sheetId="1" r:id="rId2"/>
    <sheet name="최초예산총괄" sheetId="2" r:id="rId3"/>
    <sheet name="최초예산내역-세입" sheetId="8" r:id="rId4"/>
    <sheet name="최초예산내역-세출" sheetId="7" r:id="rId5"/>
    <sheet name="최초예산 변경사유서" sheetId="6" r:id="rId6"/>
  </sheets>
  <externalReferences>
    <externalReference r:id="rId7"/>
    <externalReference r:id="rId8"/>
    <externalReference r:id="rId9"/>
  </externalReferences>
  <definedNames>
    <definedName name="_xlnm.Print_Area" localSheetId="5">'최초예산 변경사유서'!$A$1:$F$51</definedName>
    <definedName name="_xlnm.Print_Area" localSheetId="3">'최초예산내역-세입'!$A$1:$I$38</definedName>
    <definedName name="_xlnm.Print_Area" localSheetId="4">'최초예산내역-세출'!$A$1:$I$144</definedName>
    <definedName name="_xlnm.Print_Area" localSheetId="2">최초예산총괄!$A$1:$E$24</definedName>
    <definedName name="_xlnm.Print_Area" localSheetId="0">표지!$A$1:$A$12</definedName>
    <definedName name="_xlnm.Print_Titles" localSheetId="5">'최초예산 변경사유서'!$19:$20</definedName>
    <definedName name="_xlnm.Print_Titles" localSheetId="3">'최초예산내역-세입'!$3:$5</definedName>
    <definedName name="_xlnm.Print_Titles" localSheetId="4">'최초예산내역-세출'!$3:$5</definedName>
    <definedName name="Z_29BE6789_D580_482F_AE13_9E62D887C1AB_.wvu.PrintArea" localSheetId="5" hidden="1">'최초예산 변경사유서'!$A$1:$F$37</definedName>
    <definedName name="Z_29BE6789_D580_482F_AE13_9E62D887C1AB_.wvu.PrintArea" localSheetId="3" hidden="1">'최초예산내역-세입'!$A$1:$I$38</definedName>
    <definedName name="Z_29BE6789_D580_482F_AE13_9E62D887C1AB_.wvu.PrintArea" localSheetId="4" hidden="1">'최초예산내역-세출'!$A$1:$I$144</definedName>
    <definedName name="Z_29BE6789_D580_482F_AE13_9E62D887C1AB_.wvu.PrintArea" localSheetId="2" hidden="1">최초예산총괄!$A$1:$E$24</definedName>
    <definedName name="Z_29BE6789_D580_482F_AE13_9E62D887C1AB_.wvu.PrintArea" localSheetId="0" hidden="1">표지!$A$1:$A$12</definedName>
    <definedName name="Z_29BE6789_D580_482F_AE13_9E62D887C1AB_.wvu.PrintTitles" localSheetId="5" hidden="1">'최초예산 변경사유서'!$19:$20</definedName>
    <definedName name="Z_29BE6789_D580_482F_AE13_9E62D887C1AB_.wvu.PrintTitles" localSheetId="3" hidden="1">'최초예산내역-세입'!$3:$5</definedName>
    <definedName name="Z_29BE6789_D580_482F_AE13_9E62D887C1AB_.wvu.PrintTitles" localSheetId="4" hidden="1">'최초예산내역-세출'!$3:$5</definedName>
  </definedNames>
  <calcPr calcId="144525"/>
  <customWorkbookViews>
    <customWorkbookView name="PC - 사용자 보기" guid="{29BE6789-D580-482F-AE13-9E62D887C1AB}" mergeInterval="0" personalView="1" maximized="1" windowWidth="1596" windowHeight="607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" i="7" l="1"/>
  <c r="D30" i="6"/>
  <c r="I99" i="7"/>
  <c r="D8" i="2" l="1"/>
  <c r="D7" i="2"/>
  <c r="D9" i="2"/>
  <c r="D10" i="2"/>
  <c r="D11" i="2"/>
  <c r="C6" i="2"/>
  <c r="D36" i="6" l="1"/>
  <c r="E44" i="6"/>
  <c r="F44" i="6" s="1"/>
  <c r="D93" i="7"/>
  <c r="F138" i="7"/>
  <c r="C46" i="6"/>
  <c r="C42" i="6"/>
  <c r="D24" i="8"/>
  <c r="D25" i="8"/>
  <c r="D12" i="6" s="1"/>
  <c r="D23" i="8"/>
  <c r="E14" i="6"/>
  <c r="D14" i="6"/>
  <c r="E16" i="6"/>
  <c r="D16" i="6"/>
  <c r="D15" i="8"/>
  <c r="D19" i="8"/>
  <c r="D10" i="6"/>
  <c r="E10" i="6"/>
  <c r="E12" i="6"/>
  <c r="F14" i="6" l="1"/>
  <c r="F10" i="6"/>
  <c r="F12" i="6"/>
  <c r="I142" i="7" l="1"/>
  <c r="I22" i="8"/>
  <c r="D18" i="8"/>
  <c r="E7" i="8"/>
  <c r="I89" i="7"/>
  <c r="I76" i="7"/>
  <c r="I69" i="7"/>
  <c r="I68" i="7"/>
  <c r="D31" i="8"/>
  <c r="D28" i="8"/>
  <c r="D27" i="8"/>
  <c r="D21" i="8"/>
  <c r="D20" i="8"/>
  <c r="D12" i="8"/>
  <c r="D11" i="8"/>
  <c r="D9" i="8"/>
  <c r="D8" i="8"/>
  <c r="D7" i="8"/>
  <c r="D6" i="8"/>
  <c r="D7" i="7" l="1"/>
  <c r="D8" i="7"/>
  <c r="D9" i="7"/>
  <c r="D26" i="7"/>
  <c r="D35" i="7"/>
  <c r="D37" i="7"/>
  <c r="D43" i="7"/>
  <c r="D47" i="7"/>
  <c r="D48" i="7"/>
  <c r="D50" i="7"/>
  <c r="D52" i="7"/>
  <c r="D53" i="7"/>
  <c r="D55" i="7"/>
  <c r="D61" i="7"/>
  <c r="D64" i="7"/>
  <c r="D70" i="7"/>
  <c r="D73" i="7"/>
  <c r="D34" i="6" s="1"/>
  <c r="D77" i="7"/>
  <c r="D78" i="7"/>
  <c r="D79" i="7"/>
  <c r="D83" i="7"/>
  <c r="D86" i="7"/>
  <c r="D87" i="7"/>
  <c r="D88" i="7"/>
  <c r="D91" i="7"/>
  <c r="D38" i="6" s="1"/>
  <c r="D94" i="7"/>
  <c r="D96" i="7"/>
  <c r="D40" i="6" s="1"/>
  <c r="D106" i="7"/>
  <c r="D108" i="7"/>
  <c r="D42" i="6" s="1"/>
  <c r="D111" i="7"/>
  <c r="D46" i="6" s="1"/>
  <c r="D123" i="7"/>
  <c r="D143" i="7"/>
  <c r="D141" i="7"/>
  <c r="D140" i="7"/>
  <c r="D139" i="7" s="1"/>
  <c r="D137" i="7"/>
  <c r="D134" i="7"/>
  <c r="D128" i="7"/>
  <c r="D126" i="7"/>
  <c r="D48" i="6" s="1"/>
  <c r="D125" i="7"/>
  <c r="I54" i="7"/>
  <c r="I51" i="7"/>
  <c r="D6" i="7" l="1"/>
  <c r="I33" i="8" l="1"/>
  <c r="I10" i="8"/>
  <c r="I41" i="7"/>
  <c r="I42" i="7"/>
  <c r="I39" i="7"/>
  <c r="I38" i="7"/>
  <c r="I36" i="7"/>
  <c r="I28" i="7"/>
  <c r="I132" i="7"/>
  <c r="I133" i="7"/>
  <c r="I115" i="7" l="1"/>
  <c r="I114" i="7"/>
  <c r="I34" i="8" l="1"/>
  <c r="I16" i="8"/>
  <c r="E15" i="8" s="1"/>
  <c r="I32" i="8"/>
  <c r="I17" i="8"/>
  <c r="I26" i="8"/>
  <c r="I118" i="7"/>
  <c r="I116" i="7"/>
  <c r="I119" i="7"/>
  <c r="I120" i="7"/>
  <c r="I117" i="7"/>
  <c r="I110" i="7"/>
  <c r="I98" i="7"/>
  <c r="I97" i="7"/>
  <c r="I40" i="7"/>
  <c r="I32" i="7" l="1"/>
  <c r="I30" i="7"/>
  <c r="I21" i="7"/>
  <c r="I20" i="7"/>
  <c r="I15" i="7"/>
  <c r="I11" i="7"/>
  <c r="I14" i="7" l="1"/>
  <c r="I25" i="7"/>
  <c r="I24" i="7"/>
  <c r="I23" i="7"/>
  <c r="I22" i="7"/>
  <c r="I19" i="7"/>
  <c r="I18" i="7"/>
  <c r="I17" i="7"/>
  <c r="I16" i="7"/>
  <c r="I13" i="7"/>
  <c r="I12" i="7"/>
  <c r="I10" i="7"/>
  <c r="I127" i="7" l="1"/>
  <c r="E126" i="7" s="1"/>
  <c r="I113" i="7"/>
  <c r="I109" i="7"/>
  <c r="I105" i="7"/>
  <c r="I104" i="7"/>
  <c r="I103" i="7"/>
  <c r="I102" i="7"/>
  <c r="I101" i="7"/>
  <c r="I100" i="7"/>
  <c r="I92" i="7"/>
  <c r="I75" i="7"/>
  <c r="I74" i="7"/>
  <c r="I38" i="8"/>
  <c r="I67" i="7"/>
  <c r="E48" i="6" l="1"/>
  <c r="F48" i="6" s="1"/>
  <c r="E96" i="7"/>
  <c r="E40" i="6" s="1"/>
  <c r="F40" i="6" s="1"/>
  <c r="I107" i="7"/>
  <c r="I90" i="7"/>
  <c r="E88" i="7" s="1"/>
  <c r="I72" i="7"/>
  <c r="I129" i="7"/>
  <c r="I34" i="7"/>
  <c r="E26" i="7" s="1"/>
  <c r="E25" i="8"/>
  <c r="E12" i="8"/>
  <c r="E21" i="8"/>
  <c r="E19" i="8" s="1"/>
  <c r="E18" i="8" s="1"/>
  <c r="E6" i="8" s="1"/>
  <c r="I112" i="7"/>
  <c r="I63" i="7"/>
  <c r="E36" i="6" l="1"/>
  <c r="F36" i="6" s="1"/>
  <c r="D6" i="6"/>
  <c r="D5" i="6" l="1"/>
  <c r="D50" i="6" l="1"/>
  <c r="D32" i="6"/>
  <c r="E9" i="8"/>
  <c r="D28" i="6"/>
  <c r="D26" i="6"/>
  <c r="D24" i="6"/>
  <c r="D22" i="6"/>
  <c r="D21" i="6"/>
  <c r="D8" i="6"/>
  <c r="I130" i="7" l="1"/>
  <c r="I71" i="7" l="1"/>
  <c r="E24" i="8"/>
  <c r="E23" i="8" s="1"/>
  <c r="E31" i="8" l="1"/>
  <c r="I30" i="8"/>
  <c r="E37" i="8" l="1"/>
  <c r="I131" i="7"/>
  <c r="E128" i="7" s="1"/>
  <c r="E37" i="7" l="1"/>
  <c r="E28" i="6" l="1"/>
  <c r="F37" i="7"/>
  <c r="E35" i="7"/>
  <c r="E26" i="6" s="1"/>
  <c r="I46" i="7"/>
  <c r="I45" i="7"/>
  <c r="I44" i="7"/>
  <c r="I60" i="7"/>
  <c r="I59" i="7"/>
  <c r="I58" i="7"/>
  <c r="I57" i="7"/>
  <c r="I56" i="7"/>
  <c r="I62" i="7"/>
  <c r="I66" i="7"/>
  <c r="I65" i="7"/>
  <c r="I82" i="7"/>
  <c r="I81" i="7"/>
  <c r="I80" i="7"/>
  <c r="I85" i="7"/>
  <c r="I84" i="7"/>
  <c r="I95" i="7"/>
  <c r="I122" i="7"/>
  <c r="I121" i="7"/>
  <c r="E111" i="7" s="1"/>
  <c r="E46" i="6" s="1"/>
  <c r="F46" i="6" s="1"/>
  <c r="I138" i="7"/>
  <c r="E137" i="7" s="1"/>
  <c r="I136" i="7"/>
  <c r="I135" i="7"/>
  <c r="E134" i="7" l="1"/>
  <c r="E125" i="7" s="1"/>
  <c r="E43" i="7"/>
  <c r="I9" i="7"/>
  <c r="F35" i="7"/>
  <c r="G35" i="7"/>
  <c r="E79" i="7"/>
  <c r="E9" i="7" l="1"/>
  <c r="F26" i="7"/>
  <c r="E24" i="6"/>
  <c r="G37" i="7"/>
  <c r="G26" i="7"/>
  <c r="F9" i="7" l="1"/>
  <c r="E8" i="7"/>
  <c r="E22" i="6"/>
  <c r="G9" i="7"/>
  <c r="G37" i="8"/>
  <c r="F37" i="8"/>
  <c r="E36" i="8"/>
  <c r="E29" i="8"/>
  <c r="F25" i="8"/>
  <c r="F24" i="8"/>
  <c r="F23" i="8"/>
  <c r="F21" i="8"/>
  <c r="F20" i="8"/>
  <c r="F19" i="8"/>
  <c r="F18" i="8"/>
  <c r="F14" i="8"/>
  <c r="F13" i="8"/>
  <c r="E143" i="7"/>
  <c r="E141" i="7"/>
  <c r="I124" i="7"/>
  <c r="E123" i="7" s="1"/>
  <c r="E108" i="7"/>
  <c r="E42" i="6" s="1"/>
  <c r="F42" i="6" s="1"/>
  <c r="E106" i="7"/>
  <c r="E94" i="7"/>
  <c r="E91" i="7"/>
  <c r="E53" i="7"/>
  <c r="E50" i="7"/>
  <c r="E48" i="7"/>
  <c r="G43" i="7"/>
  <c r="E47" i="7" l="1"/>
  <c r="E30" i="6"/>
  <c r="F30" i="6" s="1"/>
  <c r="E93" i="7"/>
  <c r="E50" i="6"/>
  <c r="F50" i="6" s="1"/>
  <c r="E140" i="7"/>
  <c r="E139" i="7" s="1"/>
  <c r="E38" i="6"/>
  <c r="F38" i="6" s="1"/>
  <c r="E87" i="7"/>
  <c r="E83" i="7"/>
  <c r="F96" i="7"/>
  <c r="E55" i="7"/>
  <c r="G55" i="7" s="1"/>
  <c r="F108" i="7"/>
  <c r="G108" i="7"/>
  <c r="F106" i="7"/>
  <c r="G106" i="7"/>
  <c r="F79" i="7"/>
  <c r="E61" i="7"/>
  <c r="G61" i="7" s="1"/>
  <c r="G36" i="8"/>
  <c r="F111" i="7"/>
  <c r="F43" i="7"/>
  <c r="E64" i="7"/>
  <c r="E73" i="7"/>
  <c r="E34" i="6" s="1"/>
  <c r="F34" i="6" s="1"/>
  <c r="E70" i="7"/>
  <c r="E35" i="8"/>
  <c r="G35" i="8" s="1"/>
  <c r="E28" i="8"/>
  <c r="E27" i="8" s="1"/>
  <c r="F29" i="8"/>
  <c r="G29" i="8"/>
  <c r="G15" i="8"/>
  <c r="F15" i="8"/>
  <c r="G9" i="8"/>
  <c r="F9" i="8"/>
  <c r="E8" i="8"/>
  <c r="F36" i="8"/>
  <c r="F50" i="7"/>
  <c r="G50" i="7"/>
  <c r="F91" i="7"/>
  <c r="G91" i="7"/>
  <c r="F126" i="7"/>
  <c r="G126" i="7"/>
  <c r="G141" i="7"/>
  <c r="F141" i="7"/>
  <c r="F48" i="7"/>
  <c r="G48" i="7"/>
  <c r="F94" i="7"/>
  <c r="G94" i="7"/>
  <c r="F123" i="7"/>
  <c r="G123" i="7"/>
  <c r="G137" i="7"/>
  <c r="F137" i="7"/>
  <c r="G143" i="7"/>
  <c r="F143" i="7"/>
  <c r="F53" i="7"/>
  <c r="G53" i="7"/>
  <c r="F88" i="7"/>
  <c r="G88" i="7"/>
  <c r="G83" i="7" l="1"/>
  <c r="E78" i="7"/>
  <c r="E77" i="7" s="1"/>
  <c r="E52" i="7"/>
  <c r="E7" i="7" s="1"/>
  <c r="F139" i="7"/>
  <c r="G139" i="7"/>
  <c r="F140" i="7"/>
  <c r="D21" i="2"/>
  <c r="F27" i="8"/>
  <c r="G27" i="8"/>
  <c r="F35" i="8"/>
  <c r="F70" i="7"/>
  <c r="F64" i="7"/>
  <c r="E32" i="6"/>
  <c r="F32" i="6" s="1"/>
  <c r="F47" i="7"/>
  <c r="D18" i="2"/>
  <c r="E18" i="2" s="1"/>
  <c r="D6" i="2"/>
  <c r="E6" i="6"/>
  <c r="G47" i="7"/>
  <c r="G134" i="7"/>
  <c r="E86" i="7"/>
  <c r="F83" i="7"/>
  <c r="G111" i="7"/>
  <c r="G70" i="7"/>
  <c r="F55" i="7"/>
  <c r="F61" i="7"/>
  <c r="D22" i="2"/>
  <c r="G96" i="7"/>
  <c r="F134" i="7"/>
  <c r="G79" i="7"/>
  <c r="G78" i="7"/>
  <c r="D17" i="2"/>
  <c r="G31" i="8"/>
  <c r="F31" i="8"/>
  <c r="G64" i="7"/>
  <c r="G128" i="7"/>
  <c r="F128" i="7"/>
  <c r="F73" i="7"/>
  <c r="G73" i="7"/>
  <c r="F8" i="8"/>
  <c r="G8" i="8"/>
  <c r="E11" i="8"/>
  <c r="E8" i="6" s="1"/>
  <c r="F12" i="8"/>
  <c r="G12" i="8"/>
  <c r="G28" i="8"/>
  <c r="F28" i="8"/>
  <c r="G140" i="7"/>
  <c r="D24" i="2"/>
  <c r="G87" i="7"/>
  <c r="F87" i="7"/>
  <c r="D23" i="2" l="1"/>
  <c r="G125" i="7"/>
  <c r="F125" i="7"/>
  <c r="D20" i="2"/>
  <c r="F78" i="7"/>
  <c r="G93" i="7"/>
  <c r="F93" i="7"/>
  <c r="G86" i="7"/>
  <c r="G8" i="7"/>
  <c r="F8" i="7"/>
  <c r="F52" i="7"/>
  <c r="D19" i="2"/>
  <c r="G7" i="7"/>
  <c r="G52" i="7"/>
  <c r="F7" i="8"/>
  <c r="G7" i="8"/>
  <c r="F11" i="8"/>
  <c r="G11" i="8"/>
  <c r="E5" i="6" l="1"/>
  <c r="E6" i="7"/>
  <c r="F77" i="7"/>
  <c r="G77" i="7"/>
  <c r="F86" i="7"/>
  <c r="F7" i="7"/>
  <c r="F6" i="8"/>
  <c r="G6" i="8"/>
  <c r="E21" i="6" l="1"/>
  <c r="G6" i="7"/>
  <c r="F6" i="7"/>
  <c r="F16" i="6"/>
  <c r="F8" i="6" l="1"/>
  <c r="C28" i="6" l="1"/>
  <c r="C26" i="6"/>
  <c r="C24" i="6"/>
  <c r="C22" i="6"/>
  <c r="B22" i="6"/>
  <c r="A22" i="6"/>
  <c r="F6" i="6"/>
  <c r="C6" i="6"/>
  <c r="B6" i="6"/>
  <c r="A6" i="6"/>
  <c r="F24" i="6" l="1"/>
  <c r="F28" i="6"/>
  <c r="F26" i="6"/>
  <c r="F22" i="6"/>
  <c r="F5" i="6"/>
  <c r="F21" i="6" l="1"/>
  <c r="E22" i="2"/>
  <c r="E20" i="2"/>
  <c r="E23" i="2" l="1"/>
  <c r="E19" i="2" l="1"/>
  <c r="E21" i="2"/>
  <c r="D5" i="2" l="1"/>
  <c r="E24" i="2" l="1"/>
  <c r="E17" i="2"/>
  <c r="D16" i="2"/>
  <c r="E16" i="2" s="1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<sst xmlns="http://schemas.openxmlformats.org/spreadsheetml/2006/main" count="392" uniqueCount="279">
  <si>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</si>
  <si>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</si>
  <si>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</si>
  <si>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</si>
  <si>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</si>
  <si>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</si>
  <si>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</si>
  <si>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</si>
  <si>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</si>
  <si>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</si>
  <si>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</si>
  <si>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</si>
  <si>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</si>
  <si>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</si>
  <si>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</si>
  <si>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</si>
  <si>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</si>
  <si>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</si>
  <si>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</si>
  <si>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</si>
  <si>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</si>
  <si>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</si>
  <si>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</si>
  <si>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</si>
  <si>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</si>
  <si>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</si>
  <si>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</si>
  <si>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</si>
  <si>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</si>
  <si>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</si>
  <si>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</si>
  <si>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</si>
  <si>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</si>
  <si>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</si>
  <si>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</si>
  <si>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</si>
  <si>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</si>
  <si>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</si>
  <si>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</si>
  <si>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</si>
  <si>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</si>
  <si>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</si>
  <si>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</si>
  <si>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</si>
  <si>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</si>
  <si>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</si>
  <si>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</si>
  <si>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</si>
  <si>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</si>
  <si>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</si>
  <si>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</si>
  <si>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</si>
  <si>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</si>
  <si>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</si>
  <si>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</si>
  <si>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</si>
  <si>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</si>
  <si>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</si>
  <si>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</si>
  <si>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</si>
  <si>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</si>
  <si>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</si>
  <si>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</si>
  <si>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</si>
  <si>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</si>
  <si>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</si>
  <si>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</si>
  <si>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</si>
  <si>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</si>
  <si>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</si>
  <si>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</si>
  <si>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</si>
  <si>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</si>
  <si>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</si>
  <si>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</si>
  <si>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</si>
  <si>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</si>
  <si>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</si>
  <si>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</si>
  <si>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</si>
  <si>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</si>
  <si>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</si>
  <si>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</si>
  <si>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</si>
  <si>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</si>
  <si>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</si>
  <si>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</si>
  <si>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</si>
  <si>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</si>
  <si>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</si>
  <si>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</si>
  <si>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</si>
  <si>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</si>
  <si>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</si>
  <si>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</si>
  <si>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</si>
  <si>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</si>
  <si>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</si>
  <si>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</si>
  <si>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</si>
  <si>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</si>
  <si>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</si>
  <si>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</si>
  <si>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</si>
  <si>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</si>
  <si>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</si>
  <si>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</si>
  <si>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</si>
  <si>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</si>
  <si>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</si>
  <si>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</si>
  <si>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*간호처치 및 관리: 150,000원 x 4회</t>
    <phoneticPr fontId="2" type="noConversion"/>
  </si>
  <si>
    <t>*주방 닥트청소 및 유지관리비 : 300,000원 x 1회</t>
    <phoneticPr fontId="2" type="noConversion"/>
  </si>
  <si>
    <t>*기타수용비 및 인쇄비: 300,000원 x 4회</t>
    <phoneticPr fontId="2" type="noConversion"/>
  </si>
  <si>
    <t>보조금수입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</si>
  <si>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</si>
  <si>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</si>
  <si>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</si>
  <si>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</si>
  <si>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</si>
  <si>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</si>
  <si>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</si>
  <si>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</si>
  <si>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</si>
  <si>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</si>
  <si>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</si>
  <si>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</si>
  <si>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</si>
  <si>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</si>
  <si>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3. 본 예산은 사회복지법인 재무회계규칙 제 2장 예산과 결산에 의거 편성하며 집행한다.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</si>
  <si>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</si>
  <si>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</si>
  <si>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</si>
  <si>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*명절선물 및 포상 등: 200,000원 x 2회</t>
    <phoneticPr fontId="2" type="noConversion"/>
  </si>
  <si>
    <t>*자원봉사자 관리비: 200,000원 x 2회</t>
    <phoneticPr fontId="2" type="noConversion"/>
  </si>
  <si>
    <t>*기타사업 및 교구구입비: 100,000원 x 2회</t>
    <phoneticPr fontId="2" type="noConversion"/>
  </si>
  <si>
    <t>*기억학교협회 감사의 날: 600,000원 x 1회</t>
    <phoneticPr fontId="2" type="noConversion"/>
  </si>
  <si>
    <t>*특별행사PG: 150,000원 x 2회</t>
    <phoneticPr fontId="2" type="noConversion"/>
  </si>
  <si>
    <t>*보호자 자조모임(상,하반기): 300,000원 x 2회</t>
    <phoneticPr fontId="2" type="noConversion"/>
  </si>
  <si>
    <t>*냉난방기 유지관리비 外: 550,000원 x 1회</t>
    <phoneticPr fontId="2" type="noConversion"/>
  </si>
  <si>
    <t>*송영차량구입 월할부금(쉐보레 스파크): 238,333원 x 12회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</si>
  <si>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</si>
  <si>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</si>
  <si>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>*간호조무사 보수교욱: 35,000원 x 1명</t>
    <phoneticPr fontId="2" type="noConversion"/>
  </si>
  <si>
    <t>*기타예금이자수입: 15,050원 * 2회</t>
    <phoneticPr fontId="2" type="noConversion"/>
  </si>
  <si>
    <t>운영비</t>
    <phoneticPr fontId="2" type="noConversion"/>
  </si>
  <si>
    <t>*예비비 증액 조정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</si>
  <si>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</si>
  <si>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</si>
  <si>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</si>
  <si>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제세공과금</t>
    <phoneticPr fontId="2" type="noConversion"/>
  </si>
  <si>
    <t>전입금</t>
    <phoneticPr fontId="2" type="noConversion"/>
  </si>
  <si>
    <t>전입금</t>
    <phoneticPr fontId="2" type="noConversion"/>
  </si>
  <si>
    <t>*이용자 유치를 통한 입소비용수입 증액 조정</t>
    <phoneticPr fontId="2" type="noConversion"/>
  </si>
  <si>
    <t>*사회보험요율 인상에 따른 증액 조정</t>
    <phoneticPr fontId="2" type="noConversion"/>
  </si>
  <si>
    <t>법인전입금(후원금)</t>
    <phoneticPr fontId="2" type="noConversion"/>
  </si>
  <si>
    <t>2022년
2차추경(A)</t>
    <phoneticPr fontId="17" type="noConversion"/>
  </si>
  <si>
    <t>*자동차세 外: 80,000원 x 3대</t>
    <phoneticPr fontId="2" type="noConversion"/>
  </si>
  <si>
    <t>*전기,도시가스,상하수도 등: 400,000원 x 12월</t>
    <phoneticPr fontId="2" type="noConversion"/>
  </si>
  <si>
    <t>*유류대: 600,000원 x 12월(송영차량 3대)</t>
    <phoneticPr fontId="2" type="noConversion"/>
  </si>
  <si>
    <t>*노후비품 교체 자산취득비: 250,000원 x 2회</t>
  </si>
  <si>
    <t>법인전입금</t>
    <phoneticPr fontId="2" type="noConversion"/>
  </si>
  <si>
    <t>자격수당 : 100,000원 x 6회 x 3명</t>
    <phoneticPr fontId="2" type="noConversion"/>
  </si>
  <si>
    <t>*직원연수: 500,000원 x 2회</t>
    <phoneticPr fontId="2" type="noConversion"/>
  </si>
  <si>
    <t>*자격수당 : 1,800,000원</t>
    <phoneticPr fontId="2" type="noConversion"/>
  </si>
  <si>
    <t xml:space="preserve">*차량관리비 및 수리비 : 200,000원 x 3대 x 4회 </t>
    <phoneticPr fontId="2" type="noConversion"/>
  </si>
  <si>
    <t>*김장비용 : 2,000,000원 x 1회</t>
    <phoneticPr fontId="2" type="noConversion"/>
  </si>
  <si>
    <t>*치매예방체조 外: 50,000원 x 4회</t>
    <phoneticPr fontId="2" type="noConversion"/>
  </si>
  <si>
    <t>2023년 참좋은기억학교 최초예산 총괄내역서</t>
    <phoneticPr fontId="2" type="noConversion"/>
  </si>
  <si>
    <t xml:space="preserve">2023년 참좋은기억학교 </t>
    <phoneticPr fontId="2" type="noConversion"/>
  </si>
  <si>
    <t>최초 세입.세출 예산(안)</t>
    <phoneticPr fontId="2" type="noConversion"/>
  </si>
  <si>
    <t>1. 참좋은기억학교의 2023년 최초 세입,세출 예산은 다음과 같다.</t>
    <phoneticPr fontId="2" type="noConversion"/>
  </si>
  <si>
    <t>1) 2023년 참좋은기억학교 최초 세입 예산 내역</t>
    <phoneticPr fontId="2" type="noConversion"/>
  </si>
  <si>
    <t>2023년 참좋은기억학교 최초 예산 증감사항 및 주요내용</t>
    <phoneticPr fontId="2" type="noConversion"/>
  </si>
  <si>
    <t>2) 2023년 참좋은기억학교 최초 세출 예산 내역</t>
    <phoneticPr fontId="2" type="noConversion"/>
  </si>
  <si>
    <t>*영업배상책임보험 外: 500,000원 x 2회</t>
    <phoneticPr fontId="2" type="noConversion"/>
  </si>
  <si>
    <t>*기타세금 및 각종 협회비: 300,000원 x 6회</t>
    <phoneticPr fontId="2" type="noConversion"/>
  </si>
  <si>
    <t>*전년도이월금(사업수입): 12,000,000원 x 1회</t>
    <phoneticPr fontId="2" type="noConversion"/>
  </si>
  <si>
    <t>*직원식대비: 300,000원 x 12월</t>
    <phoneticPr fontId="2" type="noConversion"/>
  </si>
  <si>
    <t>*직원상용피복비: 50,000원 x 9명</t>
    <phoneticPr fontId="2" type="noConversion"/>
  </si>
  <si>
    <t>*수용기관경비: 100,000원 x 2회</t>
    <phoneticPr fontId="2" type="noConversion"/>
  </si>
  <si>
    <t>*놀이교실: 50,000원 x 2회</t>
  </si>
  <si>
    <t>*음악교실: 100,000원 x 2회</t>
  </si>
  <si>
    <t>*문학교실: 20,000원 x 3회</t>
  </si>
  <si>
    <t>*기타 복지프로그램: 50,000원 x 4회</t>
  </si>
  <si>
    <t>*클레이교실: 50,000원 x 12회</t>
    <phoneticPr fontId="2" type="noConversion"/>
  </si>
  <si>
    <t>*뷰티교실: 50,000원 x 4회</t>
    <phoneticPr fontId="2" type="noConversion"/>
  </si>
  <si>
    <t>*미술교실: 50,000원 x 12회</t>
    <phoneticPr fontId="2" type="noConversion"/>
  </si>
  <si>
    <t>*생신잔치: 40,000원 x 12회</t>
    <phoneticPr fontId="2" type="noConversion"/>
  </si>
  <si>
    <t>*홍보출판비: 1,000,000원 x 4회</t>
    <phoneticPr fontId="2" type="noConversion"/>
  </si>
  <si>
    <t>*시설장(15호봉): 3,581,980원 x 1월 x 1명</t>
    <phoneticPr fontId="2" type="noConversion"/>
  </si>
  <si>
    <t>*선임사회복지사1(9호봉): 2,759,130원 x 1월 x 1명</t>
    <phoneticPr fontId="2" type="noConversion"/>
  </si>
  <si>
    <t>*선임사회복지사1(10호봉): 2,855,840원 x 11월 x 1명</t>
    <phoneticPr fontId="2" type="noConversion"/>
  </si>
  <si>
    <t>*사회복지사2(8호봉): 2,465,920원 x 9월 x 1명</t>
    <phoneticPr fontId="2" type="noConversion"/>
  </si>
  <si>
    <t>*사회복지사2(9호봉): 2,559,290원 x 3월 x 1명</t>
    <phoneticPr fontId="2" type="noConversion"/>
  </si>
  <si>
    <t>*사회복지사3(4호봉): 2,159,500원 x 2월 x 1명</t>
    <phoneticPr fontId="2" type="noConversion"/>
  </si>
  <si>
    <t>*사회복지사3(3호봉): 2,100,720원 x 10월 x 1명</t>
    <phoneticPr fontId="2" type="noConversion"/>
  </si>
  <si>
    <t>*사회복지사4(2호봉): 2,054,960원 x 2월 x 1명</t>
    <phoneticPr fontId="2" type="noConversion"/>
  </si>
  <si>
    <t>*사회복지사4(3호봉): 2,100,720원 x 10월 x 1명</t>
    <phoneticPr fontId="2" type="noConversion"/>
  </si>
  <si>
    <t>*사무원(2호봉): 2,034,920원 x 8월 x 1명</t>
    <phoneticPr fontId="2" type="noConversion"/>
  </si>
  <si>
    <t>*사무원(3호봉): 2,077,330원 x 4월 x 1명</t>
    <phoneticPr fontId="2" type="noConversion"/>
  </si>
  <si>
    <t>*간호조무사(연봉제): 2,065,000원 x 12월 x 1명</t>
    <phoneticPr fontId="2" type="noConversion"/>
  </si>
  <si>
    <t>*조리사(연봉제):1,570,000원 x 12월 x 1명</t>
    <phoneticPr fontId="2" type="noConversion"/>
  </si>
  <si>
    <t>*사회복지사5(5호봉): 2,220,930원 x 9월 x 1명</t>
    <phoneticPr fontId="2" type="noConversion"/>
  </si>
  <si>
    <t>*사회복지사5(6호봉): 2,282,360원 x 3월 x 1명</t>
    <phoneticPr fontId="2" type="noConversion"/>
  </si>
  <si>
    <t>*가족수당 : 2,640,000원</t>
    <phoneticPr fontId="2" type="noConversion"/>
  </si>
  <si>
    <t>가족수당 : 660,000원 x 4분기</t>
    <phoneticPr fontId="2" type="noConversion"/>
  </si>
  <si>
    <t>*시간외수당 : 6,844,650원</t>
    <phoneticPr fontId="2" type="noConversion"/>
  </si>
  <si>
    <t>*과학교실: 25,000원 x 4회</t>
    <phoneticPr fontId="2" type="noConversion"/>
  </si>
  <si>
    <t>*원예교실: 75,000원 x 12회</t>
    <phoneticPr fontId="2" type="noConversion"/>
  </si>
  <si>
    <t>*다도교실: 60,000원  x 12회</t>
    <phoneticPr fontId="2" type="noConversion"/>
  </si>
  <si>
    <t>*생신선물 구입: 300,000 x 1회</t>
    <phoneticPr fontId="2" type="noConversion"/>
  </si>
  <si>
    <t>*설,추석행사: 7,000 x 40명 x 2회</t>
    <phoneticPr fontId="2" type="noConversion"/>
  </si>
  <si>
    <t>*정월대보름: 100,000원 x 1회</t>
    <phoneticPr fontId="2" type="noConversion"/>
  </si>
  <si>
    <t>*복날행사: 200,000원 x1 회</t>
    <phoneticPr fontId="2" type="noConversion"/>
  </si>
  <si>
    <t>*동지행사: 100,000원 x 1회</t>
    <phoneticPr fontId="2" type="noConversion"/>
  </si>
  <si>
    <t>*어버이날행사: 7,000원 x 40명 x 1회</t>
    <phoneticPr fontId="2" type="noConversion"/>
  </si>
  <si>
    <t>*법인전입금: 800,000원 x 4분기</t>
    <phoneticPr fontId="2" type="noConversion"/>
  </si>
  <si>
    <t>*시군구보조금(관리운영비): 5,500,000원 x 4분기</t>
    <phoneticPr fontId="2" type="noConversion"/>
  </si>
  <si>
    <t>*잡수입(직원식대): 300,000원 x 12월</t>
    <phoneticPr fontId="2" type="noConversion"/>
  </si>
  <si>
    <t>*반환금(보조금예금이자수입): 20,000원 x 1회</t>
    <phoneticPr fontId="2" type="noConversion"/>
  </si>
  <si>
    <t xml:space="preserve">시간외수당(월 5시간 x 7명 x 12월) </t>
    <phoneticPr fontId="2" type="noConversion"/>
  </si>
  <si>
    <t>*시군구보조금(인건비): 86,654,236원 x 4분기</t>
    <phoneticPr fontId="2" type="noConversion"/>
  </si>
  <si>
    <t>*기타잡수입: 67,956원 x 1회</t>
    <phoneticPr fontId="2" type="noConversion"/>
  </si>
  <si>
    <t>결산추경
(A)</t>
    <phoneticPr fontId="2" type="noConversion"/>
  </si>
  <si>
    <t>2022년
결산추경(A)</t>
    <phoneticPr fontId="17" type="noConversion"/>
  </si>
  <si>
    <t>2023년
최초예산(B)</t>
    <phoneticPr fontId="2" type="noConversion"/>
  </si>
  <si>
    <t>2023년 최초예산
(B)</t>
    <phoneticPr fontId="2" type="noConversion"/>
  </si>
  <si>
    <t>2023년
최초예산
(B)</t>
    <phoneticPr fontId="2" type="noConversion"/>
  </si>
  <si>
    <t>시도보조금수입</t>
    <phoneticPr fontId="2" type="noConversion"/>
  </si>
  <si>
    <t>2023년
최초예산(B)</t>
    <phoneticPr fontId="2" type="noConversion"/>
  </si>
  <si>
    <t>*나들이행사(봄/가을): 400,000원 x 2회</t>
    <phoneticPr fontId="2" type="noConversion"/>
  </si>
  <si>
    <t>*나들이행사(소규모): 150,000 x 4회</t>
    <phoneticPr fontId="2" type="noConversion"/>
  </si>
  <si>
    <t>*생계비: 2,400원 x 40명 x 248일</t>
    <phoneticPr fontId="2" type="noConversion"/>
  </si>
  <si>
    <t>*실비수입(일1만원): 10,000원 x 20명 x 248일</t>
    <phoneticPr fontId="2" type="noConversion"/>
  </si>
  <si>
    <t>*기타 교육 등: 30,000원 x 4회</t>
    <phoneticPr fontId="2" type="noConversion"/>
  </si>
  <si>
    <t>*기억학교 종사자 워크샵 참가비: 500,000원 x 1회</t>
    <phoneticPr fontId="2" type="noConversion"/>
  </si>
  <si>
    <t>*시설장(16호봉): 3,655,710원 x 11월 x 1명</t>
    <phoneticPr fontId="2" type="noConversion"/>
  </si>
  <si>
    <t>명절상여금 : 11,727,409원 x 2회</t>
    <phoneticPr fontId="2" type="noConversion"/>
  </si>
  <si>
    <t>*명절상여금 : 23,454,818원</t>
    <phoneticPr fontId="2" type="noConversion"/>
  </si>
  <si>
    <t>*퇴직적립금: 24,005,510원 x 1회</t>
    <phoneticPr fontId="2" type="noConversion"/>
  </si>
  <si>
    <t>*국민연금: 288,066,228원 x 4.5%</t>
    <phoneticPr fontId="2" type="noConversion"/>
  </si>
  <si>
    <t>*건강보험: 288,066,228원 x 3.545%</t>
    <phoneticPr fontId="2" type="noConversion"/>
  </si>
  <si>
    <t>*장기요양보험: 10,301,539원 x 12.81%</t>
    <phoneticPr fontId="2" type="noConversion"/>
  </si>
  <si>
    <t>*산재보험: 239,688,824원 x 0.76%</t>
    <phoneticPr fontId="2" type="noConversion"/>
  </si>
  <si>
    <t>*고용보험: 239,688,824원 x 1.25%</t>
    <phoneticPr fontId="2" type="noConversion"/>
  </si>
  <si>
    <t>*기타잡수입(사회복지실습 外): 150,000원 x 12회</t>
    <phoneticPr fontId="2" type="noConversion"/>
  </si>
  <si>
    <t>*회의비(직원회의, 운영위원회 등): 150,000원 x 4분기</t>
    <phoneticPr fontId="2" type="noConversion"/>
  </si>
  <si>
    <t>*여비: 100,000원 x 4회</t>
    <phoneticPr fontId="2" type="noConversion"/>
  </si>
  <si>
    <t>*차량보험료: 1,000,000원 x 3대</t>
    <phoneticPr fontId="2" type="noConversion"/>
  </si>
  <si>
    <t>*기타운영비: 55,000원 x 2회</t>
    <phoneticPr fontId="2" type="noConversion"/>
  </si>
  <si>
    <t>*감각교실: 15,000원 x 24회</t>
    <phoneticPr fontId="2" type="noConversion"/>
  </si>
  <si>
    <t>*비지정후원금 : 150,000원 * 6회</t>
    <phoneticPr fontId="2" type="noConversion"/>
  </si>
  <si>
    <t>*예비비: 158,802원 x 1회</t>
    <phoneticPr fontId="2" type="noConversion"/>
  </si>
  <si>
    <t>*종사자 인건비 인상에 따른 시군구보조금 증액 조정</t>
    <phoneticPr fontId="2" type="noConversion"/>
  </si>
  <si>
    <t>*차년도 이월예정금에 따른 전년도이월금 증액 조정</t>
    <phoneticPr fontId="2" type="noConversion"/>
  </si>
  <si>
    <t>*사회복지 실습비 증액으로 인한 기타잡수입 증액 조정</t>
    <phoneticPr fontId="2" type="noConversion"/>
  </si>
  <si>
    <t>*후원자 개발에 따른 비지정 후원금 증액 조정</t>
    <phoneticPr fontId="2" type="noConversion"/>
  </si>
  <si>
    <t>*종사자 인건비 인상에 따른 급여 증액 조정</t>
    <phoneticPr fontId="2" type="noConversion"/>
  </si>
  <si>
    <t>*종사자 인건비 인상에 따른 제수당 증액 조정</t>
    <phoneticPr fontId="2" type="noConversion"/>
  </si>
  <si>
    <t>*급여 및 제수당 증액에 따른 퇴직금및퇴직적립금 증액 조정</t>
    <phoneticPr fontId="2" type="noConversion"/>
  </si>
  <si>
    <t>*공익요원 식비 및 종사자 피복비 증액으로 기타운영비 증액</t>
    <phoneticPr fontId="2" type="noConversion"/>
  </si>
  <si>
    <t>사업비</t>
    <phoneticPr fontId="2" type="noConversion"/>
  </si>
  <si>
    <t>*기존 제작홍보물 활용으로 인한 홍보출판비 감액 조정</t>
    <phoneticPr fontId="2" type="noConversion"/>
  </si>
  <si>
    <t>전산인지사업비</t>
    <phoneticPr fontId="2" type="noConversion"/>
  </si>
  <si>
    <t>*프로그램 계획 수립에 따른 재활프로그램사업비 증액 조정</t>
    <phoneticPr fontId="2" type="noConversion"/>
  </si>
  <si>
    <t>*기존 비품 노후화로 인한 수용기관경비 증액 조정</t>
    <phoneticPr fontId="2" type="noConversion"/>
  </si>
  <si>
    <t>*프로그램 계획 수립에 따른 일상생활지원사업비 증액 조정</t>
    <phoneticPr fontId="2" type="noConversion"/>
  </si>
  <si>
    <t>*프로그램 계획 수립에 따른 특별사업지원사업비 증액 조정</t>
    <phoneticPr fontId="2" type="noConversion"/>
  </si>
  <si>
    <t>*홍보 계획 수립에 따른 법인전입금 감액 조정</t>
    <phoneticPr fontId="2" type="noConversion"/>
  </si>
  <si>
    <t>*각종 협회비 지출 비용 감액 조정</t>
    <phoneticPr fontId="2" type="noConversion"/>
  </si>
  <si>
    <t>*물가 인상에 따른 생계비 증액 조정</t>
    <phoneticPr fontId="2" type="noConversion"/>
  </si>
  <si>
    <t>*전년도 구입 기기 이용으로 인한 전산인지사업비 감액 조정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</si>
  <si>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437,335,000원</t>
    </r>
    <r>
      <rPr>
        <sz val="12"/>
        <rFont val="굴림"/>
        <family val="3"/>
        <charset val="129"/>
      </rPr>
      <t>으로한다.</t>
    </r>
    <phoneticPr fontId="2" type="noConversion"/>
  </si>
  <si>
    <t>2022. 11.</t>
    <phoneticPr fontId="2" type="noConversion"/>
  </si>
  <si>
    <t>업무추진비</t>
    <phoneticPr fontId="2" type="noConversion"/>
  </si>
  <si>
    <t>기관운영비</t>
    <phoneticPr fontId="2" type="noConversion"/>
  </si>
  <si>
    <t>*기관운영비: 210,000원 x 4분기</t>
    <phoneticPr fontId="2" type="noConversion"/>
  </si>
  <si>
    <t>*유관기관 협력 관계 구축 위한 증액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</si>
</sst>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>
      <alignment vertical="center"/>
    </xf>
    <xf numFmtId="3" fontId="12" fillId="0" borderId="20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11" fillId="0" borderId="32" xfId="0" applyFont="1" applyBorder="1" applyAlignment="1">
      <alignment horizontal="center" vertical="center"/>
    </xf>
    <xf numFmtId="3" fontId="11" fillId="0" borderId="29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3" fontId="11" fillId="0" borderId="20" xfId="0" applyNumberFormat="1" applyFont="1" applyBorder="1">
      <alignment vertical="center"/>
    </xf>
    <xf numFmtId="3" fontId="11" fillId="0" borderId="20" xfId="1" applyNumberFormat="1" applyFont="1" applyBorder="1" applyAlignment="1">
      <alignment vertical="center"/>
    </xf>
    <xf numFmtId="3" fontId="12" fillId="0" borderId="38" xfId="1" applyNumberFormat="1" applyFont="1" applyBorder="1" applyAlignme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2" fillId="0" borderId="44" xfId="0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1" fillId="0" borderId="20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36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" fontId="12" fillId="0" borderId="38" xfId="0" applyNumberFormat="1" applyFont="1" applyBorder="1">
      <alignment vertical="center"/>
    </xf>
    <xf numFmtId="3" fontId="12" fillId="0" borderId="37" xfId="0" applyNumberFormat="1" applyFont="1" applyBorder="1">
      <alignment vertical="center"/>
    </xf>
    <xf numFmtId="3" fontId="12" fillId="0" borderId="37" xfId="1" applyNumberFormat="1" applyFont="1" applyBorder="1" applyAlignment="1">
      <alignment vertical="center"/>
    </xf>
    <xf numFmtId="0" fontId="12" fillId="0" borderId="46" xfId="0" applyFont="1" applyBorder="1" applyAlignment="1">
      <alignment horizontal="left" vertical="center"/>
    </xf>
    <xf numFmtId="3" fontId="12" fillId="0" borderId="38" xfId="1" applyNumberFormat="1" applyFont="1" applyBorder="1" applyAlignment="1">
      <alignment horizontal="right" vertical="center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>
      <alignment vertical="center"/>
    </xf>
    <xf numFmtId="3" fontId="12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3" fontId="12" fillId="0" borderId="38" xfId="2" applyNumberFormat="1" applyFont="1" applyBorder="1">
      <alignment vertical="center"/>
    </xf>
    <xf numFmtId="0" fontId="12" fillId="0" borderId="38" xfId="2" applyFont="1" applyBorder="1">
      <alignment vertical="center"/>
    </xf>
    <xf numFmtId="0" fontId="12" fillId="0" borderId="37" xfId="2" applyFont="1" applyBorder="1">
      <alignment vertical="center"/>
    </xf>
    <xf numFmtId="0" fontId="12" fillId="0" borderId="0" xfId="2" applyFont="1">
      <alignment vertical="center"/>
    </xf>
    <xf numFmtId="3" fontId="12" fillId="0" borderId="0" xfId="2" applyNumberFormat="1" applyFont="1" applyAlignment="1">
      <alignment horizontal="right" vertical="center"/>
    </xf>
    <xf numFmtId="3" fontId="12" fillId="0" borderId="0" xfId="2" applyNumberFormat="1" applyFont="1">
      <alignment vertical="center"/>
    </xf>
    <xf numFmtId="0" fontId="12" fillId="0" borderId="38" xfId="2" applyFont="1" applyBorder="1" applyAlignment="1">
      <alignment horizontal="left" vertical="center" shrinkToFit="1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2" fillId="0" borderId="0" xfId="2" applyFont="1" applyAlignment="1">
      <alignment horizontal="left" vertical="center" shrinkToFit="1"/>
    </xf>
    <xf numFmtId="3" fontId="12" fillId="0" borderId="0" xfId="2" quotePrefix="1" applyNumberFormat="1" applyFont="1" applyAlignment="1">
      <alignment horizontal="right" vertical="center"/>
    </xf>
    <xf numFmtId="0" fontId="12" fillId="0" borderId="37" xfId="2" applyFont="1" applyBorder="1" applyAlignment="1">
      <alignment horizontal="left" vertical="center" shrinkToFit="1"/>
    </xf>
    <xf numFmtId="41" fontId="11" fillId="0" borderId="32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12" fillId="0" borderId="37" xfId="1" applyFont="1" applyBorder="1" applyAlignment="1">
      <alignment horizontal="right" vertical="center"/>
    </xf>
    <xf numFmtId="41" fontId="12" fillId="0" borderId="29" xfId="1" applyFont="1" applyBorder="1" applyAlignment="1">
      <alignment horizontal="right" vertical="center"/>
    </xf>
    <xf numFmtId="43" fontId="19" fillId="0" borderId="39" xfId="7" applyNumberFormat="1" applyFont="1" applyFill="1" applyBorder="1" applyAlignment="1">
      <alignment horizontal="right" vertical="center"/>
    </xf>
    <xf numFmtId="43" fontId="20" fillId="0" borderId="39" xfId="7" applyNumberFormat="1" applyFont="1" applyFill="1" applyBorder="1" applyAlignment="1">
      <alignment horizontal="right" vertical="center"/>
    </xf>
    <xf numFmtId="43" fontId="20" fillId="0" borderId="20" xfId="7" applyNumberFormat="1" applyFont="1" applyFill="1" applyBorder="1" applyAlignment="1">
      <alignment horizontal="right" vertical="center"/>
    </xf>
    <xf numFmtId="43" fontId="20" fillId="0" borderId="36" xfId="7" applyNumberFormat="1" applyFont="1" applyFill="1" applyBorder="1" applyAlignment="1">
      <alignment horizontal="right" vertical="center"/>
    </xf>
    <xf numFmtId="43" fontId="20" fillId="0" borderId="38" xfId="7" applyNumberFormat="1" applyFont="1" applyFill="1" applyBorder="1" applyAlignment="1">
      <alignment horizontal="right" vertical="center"/>
    </xf>
    <xf numFmtId="43" fontId="20" fillId="0" borderId="48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3" fontId="3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43" fontId="20" fillId="0" borderId="46" xfId="7" applyNumberFormat="1" applyFont="1" applyFill="1" applyBorder="1" applyAlignment="1">
      <alignment horizontal="right" vertical="center"/>
    </xf>
    <xf numFmtId="3" fontId="12" fillId="0" borderId="13" xfId="1" applyNumberFormat="1" applyFont="1" applyBorder="1" applyAlignment="1">
      <alignment horizontal="right" vertical="center"/>
    </xf>
    <xf numFmtId="0" fontId="12" fillId="0" borderId="46" xfId="0" applyFont="1" applyBorder="1" applyAlignment="1">
      <alignment horizontal="center" vertical="center"/>
    </xf>
    <xf numFmtId="43" fontId="19" fillId="0" borderId="14" xfId="7" applyNumberFormat="1" applyFont="1" applyFill="1" applyBorder="1" applyAlignment="1">
      <alignment horizontal="right"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3" fontId="20" fillId="0" borderId="29" xfId="7" applyNumberFormat="1" applyFont="1" applyFill="1" applyBorder="1" applyAlignment="1">
      <alignment horizontal="right" vertical="center"/>
    </xf>
    <xf numFmtId="0" fontId="12" fillId="0" borderId="29" xfId="2" applyFont="1" applyBorder="1">
      <alignment vertical="center"/>
    </xf>
    <xf numFmtId="0" fontId="12" fillId="0" borderId="47" xfId="2" applyFont="1" applyBorder="1">
      <alignment vertical="center"/>
    </xf>
    <xf numFmtId="0" fontId="12" fillId="0" borderId="42" xfId="2" applyFont="1" applyBorder="1" applyAlignment="1">
      <alignment horizontal="left" vertical="center"/>
    </xf>
    <xf numFmtId="3" fontId="12" fillId="0" borderId="42" xfId="2" applyNumberFormat="1" applyFont="1" applyBorder="1" applyAlignment="1">
      <alignment horizontal="right" vertical="center"/>
    </xf>
    <xf numFmtId="3" fontId="12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3" fontId="11" fillId="0" borderId="32" xfId="0" applyNumberFormat="1" applyFont="1" applyBorder="1" applyAlignment="1">
      <alignment horizontal="center" vertical="center"/>
    </xf>
    <xf numFmtId="41" fontId="12" fillId="0" borderId="0" xfId="1" applyFont="1">
      <alignment vertical="center"/>
    </xf>
    <xf numFmtId="41" fontId="12" fillId="0" borderId="53" xfId="1" applyFont="1" applyBorder="1">
      <alignment vertical="center"/>
    </xf>
    <xf numFmtId="41" fontId="12" fillId="0" borderId="55" xfId="1" applyFont="1" applyBorder="1">
      <alignment vertical="center"/>
    </xf>
    <xf numFmtId="41" fontId="11" fillId="2" borderId="57" xfId="1" applyFont="1" applyFill="1" applyBorder="1">
      <alignment vertical="center"/>
    </xf>
    <xf numFmtId="3" fontId="11" fillId="0" borderId="10" xfId="1" applyNumberFormat="1" applyFont="1" applyBorder="1" applyAlignment="1">
      <alignment horizontal="right" vertical="center"/>
    </xf>
    <xf numFmtId="0" fontId="12" fillId="0" borderId="63" xfId="2" applyFont="1" applyBorder="1" applyAlignment="1">
      <alignment horizontal="center" vertical="center"/>
    </xf>
    <xf numFmtId="3" fontId="12" fillId="0" borderId="63" xfId="2" applyNumberFormat="1" applyFont="1" applyBorder="1" applyAlignment="1">
      <alignment horizontal="center" vertical="center" wrapText="1"/>
    </xf>
    <xf numFmtId="41" fontId="12" fillId="0" borderId="57" xfId="1" applyFont="1" applyBorder="1">
      <alignment vertical="center"/>
    </xf>
    <xf numFmtId="41" fontId="12" fillId="0" borderId="52" xfId="1" applyFont="1" applyBorder="1">
      <alignment vertical="center"/>
    </xf>
    <xf numFmtId="41" fontId="12" fillId="0" borderId="60" xfId="1" applyFont="1" applyBorder="1">
      <alignment vertical="center"/>
    </xf>
    <xf numFmtId="41" fontId="3" fillId="0" borderId="0" xfId="1" applyFont="1">
      <alignment vertical="center"/>
    </xf>
    <xf numFmtId="0" fontId="12" fillId="0" borderId="62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41" fontId="11" fillId="0" borderId="52" xfId="1" applyFont="1" applyBorder="1">
      <alignment vertical="center"/>
    </xf>
    <xf numFmtId="0" fontId="3" fillId="0" borderId="44" xfId="0" applyFont="1" applyBorder="1">
      <alignment vertical="center"/>
    </xf>
    <xf numFmtId="0" fontId="13" fillId="0" borderId="0" xfId="2" applyFont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43" fontId="3" fillId="0" borderId="0" xfId="0" applyNumberFormat="1" applyFont="1">
      <alignment vertical="center"/>
    </xf>
    <xf numFmtId="41" fontId="3" fillId="0" borderId="44" xfId="1" applyFont="1" applyBorder="1">
      <alignment vertical="center"/>
    </xf>
    <xf numFmtId="41" fontId="13" fillId="0" borderId="0" xfId="1" applyFont="1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0" fontId="12" fillId="0" borderId="64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3" fontId="12" fillId="0" borderId="47" xfId="1" applyNumberFormat="1" applyFont="1" applyBorder="1" applyAlignment="1">
      <alignment horizontal="right" vertical="center"/>
    </xf>
    <xf numFmtId="43" fontId="20" fillId="0" borderId="41" xfId="7" applyNumberFormat="1" applyFont="1" applyFill="1" applyBorder="1" applyAlignment="1">
      <alignment horizontal="right" vertical="center"/>
    </xf>
    <xf numFmtId="0" fontId="12" fillId="0" borderId="65" xfId="0" applyFont="1" applyBorder="1" applyAlignment="1">
      <alignment horizontal="left" vertical="center"/>
    </xf>
    <xf numFmtId="41" fontId="12" fillId="0" borderId="47" xfId="1" applyFont="1" applyBorder="1" applyAlignment="1">
      <alignment horizontal="right" vertical="center"/>
    </xf>
    <xf numFmtId="0" fontId="12" fillId="0" borderId="41" xfId="0" applyFont="1" applyBorder="1" applyAlignment="1">
      <alignment horizontal="left" vertical="center"/>
    </xf>
    <xf numFmtId="41" fontId="12" fillId="0" borderId="20" xfId="1" applyFont="1" applyBorder="1">
      <alignment vertical="center"/>
    </xf>
    <xf numFmtId="0" fontId="12" fillId="0" borderId="29" xfId="2" applyFont="1" applyBorder="1" applyAlignment="1">
      <alignment horizontal="left" vertical="center"/>
    </xf>
    <xf numFmtId="41" fontId="6" fillId="0" borderId="66" xfId="0" applyNumberFormat="1" applyFont="1" applyBorder="1">
      <alignment vertical="center"/>
    </xf>
    <xf numFmtId="3" fontId="13" fillId="0" borderId="57" xfId="2" applyNumberFormat="1" applyFont="1" applyBorder="1" applyAlignment="1">
      <alignment horizontal="center" vertical="center"/>
    </xf>
    <xf numFmtId="3" fontId="12" fillId="0" borderId="60" xfId="2" applyNumberFormat="1" applyFont="1" applyBorder="1" applyAlignment="1">
      <alignment horizontal="right" vertical="center"/>
    </xf>
    <xf numFmtId="0" fontId="12" fillId="0" borderId="68" xfId="2" applyFont="1" applyBorder="1" applyAlignment="1">
      <alignment horizontal="center" vertical="center"/>
    </xf>
    <xf numFmtId="3" fontId="12" fillId="0" borderId="69" xfId="2" applyNumberFormat="1" applyFont="1" applyBorder="1" applyAlignment="1">
      <alignment horizontal="center" vertical="center"/>
    </xf>
    <xf numFmtId="3" fontId="11" fillId="0" borderId="52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vertical="center" shrinkToFit="1"/>
    </xf>
    <xf numFmtId="3" fontId="12" fillId="0" borderId="52" xfId="2" applyNumberFormat="1" applyFont="1" applyBorder="1" applyAlignment="1">
      <alignment horizontal="right" vertical="center"/>
    </xf>
    <xf numFmtId="0" fontId="12" fillId="0" borderId="17" xfId="2" applyFont="1" applyBorder="1" applyAlignment="1">
      <alignment vertical="center" shrinkToFit="1"/>
    </xf>
    <xf numFmtId="0" fontId="12" fillId="0" borderId="16" xfId="2" applyFont="1" applyBorder="1" applyAlignment="1">
      <alignment vertical="center" shrinkToFit="1"/>
    </xf>
    <xf numFmtId="3" fontId="12" fillId="0" borderId="53" xfId="2" applyNumberFormat="1" applyFont="1" applyBorder="1" applyAlignment="1">
      <alignment horizontal="right" vertical="center"/>
    </xf>
    <xf numFmtId="0" fontId="12" fillId="0" borderId="64" xfId="2" applyFont="1" applyBorder="1" applyAlignment="1">
      <alignment vertical="center" shrinkToFit="1"/>
    </xf>
    <xf numFmtId="0" fontId="12" fillId="0" borderId="45" xfId="2" applyFont="1" applyBorder="1">
      <alignment vertical="center"/>
    </xf>
    <xf numFmtId="3" fontId="12" fillId="0" borderId="57" xfId="2" applyNumberFormat="1" applyFont="1" applyBorder="1" applyAlignment="1">
      <alignment horizontal="right" vertical="center"/>
    </xf>
    <xf numFmtId="0" fontId="12" fillId="0" borderId="12" xfId="2" applyFont="1" applyBorder="1">
      <alignment vertical="center"/>
    </xf>
    <xf numFmtId="3" fontId="12" fillId="0" borderId="15" xfId="2" applyNumberFormat="1" applyFont="1" applyBorder="1" applyAlignment="1">
      <alignment horizontal="right" vertical="center"/>
    </xf>
    <xf numFmtId="0" fontId="12" fillId="0" borderId="16" xfId="2" applyFont="1" applyBorder="1">
      <alignment vertical="center"/>
    </xf>
    <xf numFmtId="3" fontId="12" fillId="0" borderId="30" xfId="2" applyNumberFormat="1" applyFont="1" applyBorder="1" applyAlignment="1">
      <alignment horizontal="right" vertical="center"/>
    </xf>
    <xf numFmtId="3" fontId="12" fillId="0" borderId="55" xfId="2" quotePrefix="1" applyNumberFormat="1" applyFont="1" applyBorder="1" applyAlignment="1">
      <alignment horizontal="right" vertical="center"/>
    </xf>
    <xf numFmtId="0" fontId="12" fillId="0" borderId="23" xfId="2" applyFont="1" applyBorder="1">
      <alignment vertical="center"/>
    </xf>
    <xf numFmtId="0" fontId="12" fillId="0" borderId="25" xfId="2" applyFont="1" applyBorder="1">
      <alignment vertical="center"/>
    </xf>
    <xf numFmtId="0" fontId="12" fillId="0" borderId="25" xfId="2" applyFont="1" applyBorder="1" applyAlignment="1">
      <alignment horizontal="left" vertical="center"/>
    </xf>
    <xf numFmtId="41" fontId="12" fillId="0" borderId="20" xfId="1" applyFont="1" applyBorder="1" applyAlignment="1">
      <alignment horizontal="right" vertical="center"/>
    </xf>
    <xf numFmtId="3" fontId="0" fillId="0" borderId="0" xfId="0" applyNumberFormat="1">
      <alignment vertical="center"/>
    </xf>
    <xf numFmtId="41" fontId="12" fillId="0" borderId="48" xfId="1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43" fontId="3" fillId="0" borderId="0" xfId="1" applyNumberFormat="1" applyFont="1">
      <alignment vertical="center"/>
    </xf>
    <xf numFmtId="0" fontId="12" fillId="0" borderId="18" xfId="0" applyFont="1" applyBorder="1" applyAlignment="1">
      <alignment horizontal="left" vertical="center"/>
    </xf>
    <xf numFmtId="3" fontId="12" fillId="0" borderId="29" xfId="2" applyNumberFormat="1" applyFont="1" applyBorder="1">
      <alignment vertical="center"/>
    </xf>
    <xf numFmtId="3" fontId="12" fillId="0" borderId="30" xfId="2" quotePrefix="1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41" fontId="12" fillId="0" borderId="46" xfId="1" applyFont="1" applyBorder="1" applyAlignment="1">
      <alignment horizontal="right" vertical="center"/>
    </xf>
    <xf numFmtId="43" fontId="20" fillId="0" borderId="14" xfId="7" applyNumberFormat="1" applyFont="1" applyFill="1" applyBorder="1" applyAlignment="1">
      <alignment horizontal="right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70" xfId="0" applyFont="1" applyBorder="1" applyAlignment="1">
      <alignment horizontal="left" vertical="center"/>
    </xf>
    <xf numFmtId="3" fontId="12" fillId="0" borderId="57" xfId="0" applyNumberFormat="1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39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3" fontId="12" fillId="0" borderId="37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3" fontId="21" fillId="0" borderId="0" xfId="1" applyNumberFormat="1" applyFont="1" applyBorder="1" applyAlignment="1">
      <alignment horizontal="right" vertical="center"/>
    </xf>
    <xf numFmtId="3" fontId="12" fillId="0" borderId="46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vertical="center"/>
    </xf>
    <xf numFmtId="0" fontId="12" fillId="0" borderId="21" xfId="0" applyFont="1" applyBorder="1" applyAlignment="1">
      <alignment horizontal="left" vertical="center"/>
    </xf>
    <xf numFmtId="43" fontId="20" fillId="0" borderId="47" xfId="7" applyNumberFormat="1" applyFont="1" applyFill="1" applyBorder="1" applyAlignment="1">
      <alignment horizontal="right" vertical="center"/>
    </xf>
    <xf numFmtId="3" fontId="12" fillId="0" borderId="47" xfId="1" applyNumberFormat="1" applyFont="1" applyBorder="1" applyAlignment="1">
      <alignment vertical="center"/>
    </xf>
    <xf numFmtId="0" fontId="12" fillId="0" borderId="46" xfId="0" applyFont="1" applyBorder="1" applyAlignment="1">
      <alignment vertical="center" shrinkToFit="1"/>
    </xf>
    <xf numFmtId="43" fontId="19" fillId="0" borderId="29" xfId="7" applyNumberFormat="1" applyFont="1" applyFill="1" applyBorder="1" applyAlignment="1">
      <alignment horizontal="right" vertical="center"/>
    </xf>
    <xf numFmtId="0" fontId="12" fillId="0" borderId="47" xfId="0" applyFont="1" applyBorder="1" applyAlignment="1">
      <alignment horizontal="center" vertical="center"/>
    </xf>
    <xf numFmtId="3" fontId="12" fillId="0" borderId="47" xfId="0" applyNumberFormat="1" applyFont="1" applyBorder="1">
      <alignment vertical="center"/>
    </xf>
    <xf numFmtId="3" fontId="12" fillId="0" borderId="25" xfId="1" applyNumberFormat="1" applyFont="1" applyBorder="1" applyAlignment="1">
      <alignment vertical="center"/>
    </xf>
    <xf numFmtId="0" fontId="12" fillId="0" borderId="42" xfId="0" applyFont="1" applyBorder="1" applyAlignment="1">
      <alignment vertical="center" wrapText="1" shrinkToFit="1"/>
    </xf>
    <xf numFmtId="3" fontId="12" fillId="0" borderId="1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12" fillId="0" borderId="37" xfId="0" applyNumberFormat="1" applyFont="1" applyBorder="1" applyAlignment="1">
      <alignment horizontal="left" vertical="center"/>
    </xf>
    <xf numFmtId="0" fontId="3" fillId="0" borderId="0" xfId="0" applyFont="1" applyFill="1">
      <alignment vertical="center"/>
    </xf>
    <xf numFmtId="3" fontId="12" fillId="0" borderId="39" xfId="0" applyNumberFormat="1" applyFont="1" applyFill="1" applyBorder="1" applyAlignment="1">
      <alignment vertical="center" wrapText="1"/>
    </xf>
    <xf numFmtId="3" fontId="12" fillId="0" borderId="14" xfId="0" applyNumberFormat="1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46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49" fontId="12" fillId="0" borderId="46" xfId="0" applyNumberFormat="1" applyFont="1" applyFill="1" applyBorder="1" applyAlignment="1">
      <alignment vertical="center" shrinkToFit="1"/>
    </xf>
    <xf numFmtId="0" fontId="12" fillId="0" borderId="21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wrapText="1" shrinkToFit="1"/>
    </xf>
    <xf numFmtId="0" fontId="12" fillId="0" borderId="14" xfId="0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horizontal="left" vertical="center" shrinkToFit="1"/>
    </xf>
    <xf numFmtId="3" fontId="12" fillId="0" borderId="21" xfId="0" applyNumberFormat="1" applyFont="1" applyFill="1" applyBorder="1" applyAlignment="1">
      <alignment vertical="center" shrinkToFit="1"/>
    </xf>
    <xf numFmtId="0" fontId="12" fillId="0" borderId="46" xfId="0" applyFont="1" applyFill="1" applyBorder="1">
      <alignment vertical="center"/>
    </xf>
    <xf numFmtId="3" fontId="12" fillId="0" borderId="46" xfId="0" applyNumberFormat="1" applyFont="1" applyFill="1" applyBorder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46" xfId="0" applyFont="1" applyFill="1" applyBorder="1" applyAlignment="1">
      <alignment vertical="center" wrapText="1"/>
    </xf>
    <xf numFmtId="3" fontId="12" fillId="0" borderId="39" xfId="0" applyNumberFormat="1" applyFont="1" applyFill="1" applyBorder="1" applyAlignment="1">
      <alignment vertical="center" shrinkToFit="1"/>
    </xf>
    <xf numFmtId="3" fontId="12" fillId="0" borderId="35" xfId="2" applyNumberFormat="1" applyFont="1" applyBorder="1">
      <alignment vertical="center"/>
    </xf>
    <xf numFmtId="3" fontId="12" fillId="0" borderId="53" xfId="2" quotePrefix="1" applyNumberFormat="1" applyFont="1" applyBorder="1" applyAlignment="1">
      <alignment horizontal="right" vertical="center"/>
    </xf>
    <xf numFmtId="3" fontId="12" fillId="0" borderId="35" xfId="2" applyNumberFormat="1" applyFont="1" applyBorder="1" applyAlignment="1">
      <alignment horizontal="right" vertical="center"/>
    </xf>
    <xf numFmtId="0" fontId="12" fillId="0" borderId="20" xfId="2" applyFont="1" applyBorder="1" applyAlignment="1">
      <alignment horizontal="left" vertical="center"/>
    </xf>
    <xf numFmtId="3" fontId="12" fillId="0" borderId="20" xfId="1" applyNumberFormat="1" applyFont="1" applyBorder="1">
      <alignment vertical="center"/>
    </xf>
    <xf numFmtId="3" fontId="12" fillId="0" borderId="14" xfId="1" applyNumberFormat="1" applyFont="1" applyBorder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11" fillId="0" borderId="32" xfId="0" applyNumberFormat="1" applyFont="1" applyFill="1" applyBorder="1" applyAlignment="1">
      <alignment horizontal="center" vertical="center"/>
    </xf>
    <xf numFmtId="3" fontId="11" fillId="0" borderId="10" xfId="1" applyNumberFormat="1" applyFont="1" applyFill="1" applyBorder="1" applyAlignment="1">
      <alignment horizontal="right" vertical="center"/>
    </xf>
    <xf numFmtId="3" fontId="11" fillId="0" borderId="20" xfId="1" applyNumberFormat="1" applyFont="1" applyFill="1" applyBorder="1" applyAlignment="1">
      <alignment horizontal="right" vertical="center"/>
    </xf>
    <xf numFmtId="3" fontId="12" fillId="0" borderId="20" xfId="1" applyNumberFormat="1" applyFont="1" applyFill="1" applyBorder="1" applyAlignment="1">
      <alignment horizontal="right" vertical="center"/>
    </xf>
    <xf numFmtId="3" fontId="12" fillId="0" borderId="38" xfId="1" applyNumberFormat="1" applyFont="1" applyFill="1" applyBorder="1" applyAlignment="1">
      <alignment horizontal="right" vertical="center"/>
    </xf>
    <xf numFmtId="3" fontId="11" fillId="0" borderId="37" xfId="1" applyNumberFormat="1" applyFont="1" applyFill="1" applyBorder="1" applyAlignment="1">
      <alignment horizontal="right" vertical="center"/>
    </xf>
    <xf numFmtId="3" fontId="11" fillId="0" borderId="47" xfId="1" applyNumberFormat="1" applyFont="1" applyFill="1" applyBorder="1" applyAlignment="1">
      <alignment horizontal="right" vertical="center"/>
    </xf>
    <xf numFmtId="3" fontId="12" fillId="0" borderId="37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horizontal="right" vertical="center"/>
    </xf>
    <xf numFmtId="3" fontId="12" fillId="0" borderId="47" xfId="1" applyNumberFormat="1" applyFont="1" applyFill="1" applyBorder="1" applyAlignment="1">
      <alignment horizontal="right" vertical="center"/>
    </xf>
    <xf numFmtId="3" fontId="12" fillId="0" borderId="13" xfId="1" applyNumberFormat="1" applyFont="1" applyFill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3" fontId="3" fillId="0" borderId="0" xfId="0" applyNumberFormat="1" applyFont="1" applyFill="1">
      <alignment vertical="center"/>
    </xf>
    <xf numFmtId="41" fontId="12" fillId="0" borderId="72" xfId="1" applyFont="1" applyBorder="1">
      <alignment vertical="center"/>
    </xf>
    <xf numFmtId="0" fontId="12" fillId="0" borderId="6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right" vertical="center"/>
    </xf>
    <xf numFmtId="0" fontId="0" fillId="0" borderId="42" xfId="0" applyBorder="1">
      <alignment vertical="center"/>
    </xf>
    <xf numFmtId="0" fontId="11" fillId="0" borderId="73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11" fillId="0" borderId="58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11" fillId="0" borderId="31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0" fontId="12" fillId="0" borderId="6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3" fontId="12" fillId="0" borderId="35" xfId="2" applyNumberFormat="1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3" fontId="12" fillId="0" borderId="49" xfId="2" applyNumberFormat="1" applyFont="1" applyBorder="1" applyAlignment="1">
      <alignment horizontal="left" vertical="center"/>
    </xf>
    <xf numFmtId="3" fontId="12" fillId="0" borderId="50" xfId="2" applyNumberFormat="1" applyFont="1" applyBorder="1" applyAlignment="1">
      <alignment horizontal="left" vertical="center"/>
    </xf>
    <xf numFmtId="3" fontId="12" fillId="0" borderId="54" xfId="2" applyNumberFormat="1" applyFont="1" applyBorder="1" applyAlignment="1">
      <alignment horizontal="left" vertical="center"/>
    </xf>
    <xf numFmtId="3" fontId="12" fillId="0" borderId="21" xfId="2" applyNumberFormat="1" applyFont="1" applyBorder="1" applyAlignment="1">
      <alignment horizontal="left" vertical="center"/>
    </xf>
    <xf numFmtId="3" fontId="12" fillId="0" borderId="55" xfId="2" applyNumberFormat="1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/>
    <cellStyle name="쉼표 [0] 3" xfId="4"/>
    <cellStyle name="표준" xfId="0" builtinId="0"/>
    <cellStyle name="표준 2" xfId="2"/>
    <cellStyle name="표준 3" xfId="5"/>
    <cellStyle name="표준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.%202022/0.%202022%20&#50696;&#49328;%20&#48143;%20&#52628;&#44221;/22&#45380;/&#52280;&#51339;&#51008;&#44592;&#50613;&#54617;&#44368;)%202022&#45380;%20&#44208;&#49328;&#52628;&#44221;%20&#50696;&#49328;&#50504;/&#52280;&#51339;&#51008;&#44592;&#50613;&#54617;&#44368;)%202022&#45380;&#46020;%20&#44208;&#49328;%20&#52628;&#44221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277;&#51064;/&#52280;&#51339;&#51008;&#44592;&#50613;&#54617;&#44368;/2018&#45380;/1&#52264;&#52628;&#44221;/&#48148;&#53461;&#54868;&#47732;/&#52280;&#51339;&#51008;&#44592;&#50613;&#54617;&#44368;)%2017&#45380;%202&#52264;%20&#52628;&#44221;%20&#48143;%2018&#45380;%20&#49324;&#50629;&#44228;&#54925;/&#52280;&#51339;&#51008;&#44592;&#50613;&#54617;&#44368;)%202018&#45380;&#46020;%20&#48376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277;&#51064;/&#52280;&#51339;&#51008;&#44592;&#50613;&#54617;&#44368;/2018&#45380;/1&#52264;&#52628;&#44221;/&#48148;&#53461;&#54868;&#47732;/&#52280;&#51339;&#51008;&#44592;&#50613;&#54617;&#44368;)%2017&#45380;%202&#52264;%20&#52628;&#44221;%20&#48143;%2018&#45380;%20&#49324;&#50629;&#44228;&#54925;/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결산추경예산총괄"/>
      <sheetName val="결산추경예산내역-세입"/>
      <sheetName val="결산추경예산내역-세출"/>
      <sheetName val="결산추경예산 변경사유서"/>
    </sheetNames>
    <sheetDataSet>
      <sheetData sheetId="0"/>
      <sheetData sheetId="1"/>
      <sheetData sheetId="2"/>
      <sheetData sheetId="3">
        <row r="6">
          <cell r="E6">
            <v>418296000</v>
          </cell>
        </row>
        <row r="7">
          <cell r="E7">
            <v>41000000</v>
          </cell>
        </row>
        <row r="8">
          <cell r="E8">
            <v>41000000</v>
          </cell>
        </row>
        <row r="9">
          <cell r="E9">
            <v>41000000</v>
          </cell>
        </row>
        <row r="11">
          <cell r="E11">
            <v>361813000</v>
          </cell>
        </row>
        <row r="12">
          <cell r="E12">
            <v>361813000</v>
          </cell>
        </row>
        <row r="15">
          <cell r="E15">
            <v>361813000</v>
          </cell>
        </row>
        <row r="19">
          <cell r="E19">
            <v>300000</v>
          </cell>
        </row>
        <row r="21">
          <cell r="E21">
            <v>0</v>
          </cell>
        </row>
        <row r="22">
          <cell r="E22">
            <v>300000</v>
          </cell>
        </row>
        <row r="24">
          <cell r="E24">
            <v>3400000</v>
          </cell>
        </row>
        <row r="25">
          <cell r="E25">
            <v>3400000</v>
          </cell>
        </row>
        <row r="26">
          <cell r="E26">
            <v>3400000</v>
          </cell>
        </row>
        <row r="28">
          <cell r="E28">
            <v>3805915</v>
          </cell>
        </row>
        <row r="29">
          <cell r="E29">
            <v>3805915</v>
          </cell>
        </row>
        <row r="32">
          <cell r="E32">
            <v>3775815</v>
          </cell>
        </row>
      </sheetData>
      <sheetData sheetId="4">
        <row r="7">
          <cell r="E7">
            <v>365730293.73722398</v>
          </cell>
        </row>
        <row r="8">
          <cell r="E8">
            <v>325886293.73722398</v>
          </cell>
        </row>
        <row r="9">
          <cell r="E9">
            <v>242817600</v>
          </cell>
        </row>
        <row r="26">
          <cell r="E26">
            <v>32599440</v>
          </cell>
        </row>
        <row r="37">
          <cell r="E37">
            <v>22941420</v>
          </cell>
        </row>
        <row r="39">
          <cell r="E39">
            <v>25187833.737223998</v>
          </cell>
        </row>
        <row r="46">
          <cell r="E46">
            <v>2340000</v>
          </cell>
        </row>
        <row r="50">
          <cell r="E50">
            <v>1200000</v>
          </cell>
        </row>
        <row r="51">
          <cell r="E51">
            <v>600000</v>
          </cell>
        </row>
        <row r="53">
          <cell r="E53">
            <v>600000</v>
          </cell>
        </row>
        <row r="55">
          <cell r="E55">
            <v>38644000</v>
          </cell>
        </row>
        <row r="56">
          <cell r="E56">
            <v>400000</v>
          </cell>
        </row>
        <row r="58">
          <cell r="E58">
            <v>13304000</v>
          </cell>
        </row>
        <row r="64">
          <cell r="E64">
            <v>5640000</v>
          </cell>
        </row>
        <row r="67">
          <cell r="E67">
            <v>5820000</v>
          </cell>
        </row>
        <row r="73">
          <cell r="E73">
            <v>9600000</v>
          </cell>
        </row>
        <row r="76">
          <cell r="E76">
            <v>3880000</v>
          </cell>
        </row>
        <row r="80">
          <cell r="E80">
            <v>6665196</v>
          </cell>
        </row>
        <row r="81">
          <cell r="E81">
            <v>6665196</v>
          </cell>
        </row>
        <row r="82">
          <cell r="E82">
            <v>5815196</v>
          </cell>
        </row>
        <row r="86">
          <cell r="E86">
            <v>850000</v>
          </cell>
        </row>
        <row r="89">
          <cell r="E89">
            <v>45725000</v>
          </cell>
        </row>
        <row r="90">
          <cell r="E90">
            <v>21830000</v>
          </cell>
        </row>
        <row r="91">
          <cell r="E91">
            <v>21680000</v>
          </cell>
        </row>
        <row r="94">
          <cell r="E94">
            <v>150000</v>
          </cell>
        </row>
        <row r="96">
          <cell r="E96">
            <v>12222000</v>
          </cell>
        </row>
        <row r="97">
          <cell r="E97">
            <v>600000</v>
          </cell>
        </row>
        <row r="99">
          <cell r="E99">
            <v>1890000</v>
          </cell>
        </row>
        <row r="107">
          <cell r="E107">
            <v>200000</v>
          </cell>
        </row>
        <row r="109">
          <cell r="E109">
            <v>310000</v>
          </cell>
        </row>
        <row r="114">
          <cell r="E114">
            <v>1960000</v>
          </cell>
        </row>
        <row r="119">
          <cell r="E119">
            <v>600000</v>
          </cell>
        </row>
        <row r="121">
          <cell r="E121">
            <v>11673000</v>
          </cell>
        </row>
        <row r="122">
          <cell r="E122">
            <v>8850000</v>
          </cell>
        </row>
        <row r="124">
          <cell r="E124">
            <v>1823000</v>
          </cell>
        </row>
        <row r="130">
          <cell r="E130">
            <v>800000</v>
          </cell>
        </row>
        <row r="133">
          <cell r="E133">
            <v>200000</v>
          </cell>
        </row>
        <row r="136">
          <cell r="E136">
            <v>175510</v>
          </cell>
        </row>
        <row r="137">
          <cell r="E137">
            <v>155510</v>
          </cell>
        </row>
        <row r="139">
          <cell r="E139">
            <v>20000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</sheetData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D39" t="str">
            <v>사회보험부담금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view="pageBreakPreview" zoomScale="60" zoomScaleNormal="100" workbookViewId="0">
      <selection activeCell="E1" sqref="E1:E1048576"/>
    </sheetView>
  </sheetViews>
  <sheetFormatPr defaultRowHeight="13.5" x14ac:dyDescent="0.15"/>
  <cols>
    <col min="1" max="1" width="121.44140625" style="38" customWidth="1"/>
    <col min="2" max="16384" width="8.88671875" style="38"/>
  </cols>
  <sheetData>
    <row r="1" spans="1:1" ht="84.75" customHeight="1" x14ac:dyDescent="0.15">
      <c r="A1" s="1"/>
    </row>
    <row r="2" spans="1:1" ht="30" customHeight="1" x14ac:dyDescent="0.15">
      <c r="A2" s="53" t="s">
        <v>169</v>
      </c>
    </row>
    <row r="3" spans="1:1" ht="30" customHeight="1" x14ac:dyDescent="0.4">
      <c r="A3" s="54" t="s">
        <v>170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1" t="s">
        <v>274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73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view="pageBreakPreview" zoomScaleNormal="100" zoomScaleSheetLayoutView="100" workbookViewId="0"/>
  </sheetViews>
  <sheetFormatPr defaultRowHeight="13.5" x14ac:dyDescent="0.15"/>
  <cols>
    <col min="1" max="1" width="79.6640625" style="38" customWidth="1"/>
    <col min="2" max="16384" width="8.88671875" style="38"/>
  </cols>
  <sheetData>
    <row r="1" spans="1:1" ht="30" customHeight="1" x14ac:dyDescent="0.3">
      <c r="A1" s="55" t="s">
        <v>11</v>
      </c>
    </row>
    <row r="2" spans="1:1" ht="30" customHeight="1" x14ac:dyDescent="0.15">
      <c r="A2" s="56"/>
    </row>
    <row r="3" spans="1:1" ht="30" customHeight="1" x14ac:dyDescent="0.15">
      <c r="A3" s="57" t="s">
        <v>171</v>
      </c>
    </row>
    <row r="4" spans="1:1" ht="30" customHeight="1" x14ac:dyDescent="0.15">
      <c r="A4" s="57"/>
    </row>
    <row r="5" spans="1:1" ht="30" customHeight="1" x14ac:dyDescent="0.15">
      <c r="A5" s="57" t="s">
        <v>273</v>
      </c>
    </row>
    <row r="6" spans="1:1" ht="30" customHeight="1" x14ac:dyDescent="0.15">
      <c r="A6" s="57"/>
    </row>
    <row r="7" spans="1:1" ht="30" customHeight="1" x14ac:dyDescent="0.15">
      <c r="A7" s="57" t="s">
        <v>129</v>
      </c>
    </row>
    <row r="8" spans="1:1" ht="30" customHeight="1" x14ac:dyDescent="0.15">
      <c r="A8" s="57"/>
    </row>
    <row r="9" spans="1:1" ht="30" customHeight="1" x14ac:dyDescent="0.15">
      <c r="A9" s="105" t="s">
        <v>100</v>
      </c>
    </row>
    <row r="10" spans="1:1" ht="30" customHeight="1" x14ac:dyDescent="0.15">
      <c r="A10" s="57"/>
    </row>
    <row r="11" spans="1:1" ht="30" customHeight="1" x14ac:dyDescent="0.15">
      <c r="A11" s="56" t="s">
        <v>107</v>
      </c>
    </row>
    <row r="12" spans="1:1" ht="30" customHeight="1" x14ac:dyDescent="0.15">
      <c r="A12" s="56" t="s">
        <v>108</v>
      </c>
    </row>
    <row r="13" spans="1:1" ht="30" customHeight="1" x14ac:dyDescent="0.15">
      <c r="A13" s="56"/>
    </row>
    <row r="14" spans="1:1" ht="30" customHeight="1" x14ac:dyDescent="0.15">
      <c r="A14" s="56" t="s">
        <v>97</v>
      </c>
    </row>
    <row r="15" spans="1:1" ht="30" customHeight="1" x14ac:dyDescent="0.15">
      <c r="A15" s="56" t="s">
        <v>101</v>
      </c>
    </row>
    <row r="16" spans="1:1" ht="30" customHeight="1" x14ac:dyDescent="0.15">
      <c r="A16" s="56"/>
    </row>
    <row r="17" spans="1:1" ht="30" customHeight="1" x14ac:dyDescent="0.15">
      <c r="A17" s="56" t="s">
        <v>109</v>
      </c>
    </row>
    <row r="18" spans="1:1" ht="30" customHeight="1" x14ac:dyDescent="0.15">
      <c r="A18" s="56" t="s">
        <v>98</v>
      </c>
    </row>
    <row r="19" spans="1:1" ht="14.25" x14ac:dyDescent="0.15">
      <c r="A19" s="56"/>
    </row>
    <row r="20" spans="1:1" ht="14.25" x14ac:dyDescent="0.15">
      <c r="A20" s="56"/>
    </row>
    <row r="21" spans="1:1" ht="20.25" x14ac:dyDescent="0.25">
      <c r="A21" s="58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>
    <oddFooter xml:space="preserve">&amp;R참좋은 기억학교(2022.11.25.)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4.88671875" style="10" customWidth="1"/>
    <col min="2" max="2" width="15.88671875" style="10" customWidth="1"/>
    <col min="3" max="5" width="13.77734375" style="10" customWidth="1"/>
    <col min="6" max="7" width="11.77734375" bestFit="1" customWidth="1"/>
  </cols>
  <sheetData>
    <row r="1" spans="1:7" ht="39" customHeight="1" x14ac:dyDescent="0.15">
      <c r="A1" s="267" t="s">
        <v>168</v>
      </c>
      <c r="B1" s="267"/>
      <c r="C1" s="267"/>
      <c r="D1" s="267"/>
      <c r="E1" s="267"/>
    </row>
    <row r="2" spans="1:7" ht="18" customHeight="1" x14ac:dyDescent="0.15">
      <c r="A2" s="4"/>
      <c r="B2" s="4"/>
      <c r="C2" s="4"/>
      <c r="D2" s="4"/>
      <c r="E2" s="36" t="s">
        <v>83</v>
      </c>
    </row>
    <row r="3" spans="1:7" ht="21" customHeight="1" x14ac:dyDescent="0.15">
      <c r="A3" s="268" t="s">
        <v>1</v>
      </c>
      <c r="B3" s="269"/>
      <c r="C3" s="269"/>
      <c r="D3" s="269"/>
      <c r="E3" s="270"/>
    </row>
    <row r="4" spans="1:7" ht="21" customHeight="1" thickBot="1" x14ac:dyDescent="0.2">
      <c r="A4" s="12" t="s">
        <v>2</v>
      </c>
      <c r="B4" s="13" t="s">
        <v>3</v>
      </c>
      <c r="C4" s="88" t="s">
        <v>224</v>
      </c>
      <c r="D4" s="89" t="s">
        <v>227</v>
      </c>
      <c r="E4" s="14" t="s">
        <v>4</v>
      </c>
    </row>
    <row r="5" spans="1:7" ht="21" customHeight="1" thickTop="1" x14ac:dyDescent="0.15">
      <c r="A5" s="271" t="s">
        <v>5</v>
      </c>
      <c r="B5" s="272"/>
      <c r="C5" s="15">
        <v>418296000</v>
      </c>
      <c r="D5" s="15">
        <f>D6+D7+D8+D9+D10+D11</f>
        <v>437335000</v>
      </c>
      <c r="E5" s="16">
        <f>E6+E7+E8+E9+E10+E11</f>
        <v>19039000</v>
      </c>
      <c r="G5" s="178"/>
    </row>
    <row r="6" spans="1:7" ht="21" customHeight="1" x14ac:dyDescent="0.15">
      <c r="A6" s="73" t="s">
        <v>74</v>
      </c>
      <c r="B6" s="17" t="s">
        <v>75</v>
      </c>
      <c r="C6" s="18">
        <f>'최초예산내역-세입'!D8</f>
        <v>41000000</v>
      </c>
      <c r="D6" s="18">
        <f>'최초예산내역-세입'!E8</f>
        <v>47120000</v>
      </c>
      <c r="E6" s="19">
        <f t="shared" ref="E6:E11" si="0">D6-C6</f>
        <v>6120000</v>
      </c>
      <c r="G6" s="178"/>
    </row>
    <row r="7" spans="1:7" ht="21" customHeight="1" x14ac:dyDescent="0.15">
      <c r="A7" s="20" t="s">
        <v>76</v>
      </c>
      <c r="B7" s="17" t="s">
        <v>77</v>
      </c>
      <c r="C7" s="18">
        <v>361813000</v>
      </c>
      <c r="D7" s="18">
        <f>'최초예산내역-세입'!E12</f>
        <v>368616944</v>
      </c>
      <c r="E7" s="19">
        <f t="shared" si="0"/>
        <v>6803944</v>
      </c>
    </row>
    <row r="8" spans="1:7" ht="21" customHeight="1" x14ac:dyDescent="0.15">
      <c r="A8" s="74" t="s">
        <v>79</v>
      </c>
      <c r="B8" s="17" t="s">
        <v>78</v>
      </c>
      <c r="C8" s="18">
        <v>300000</v>
      </c>
      <c r="D8" s="18">
        <f>'최초예산내역-세입'!E18</f>
        <v>900000</v>
      </c>
      <c r="E8" s="19">
        <f t="shared" si="0"/>
        <v>600000</v>
      </c>
    </row>
    <row r="9" spans="1:7" ht="21" customHeight="1" x14ac:dyDescent="0.15">
      <c r="A9" s="20" t="s">
        <v>80</v>
      </c>
      <c r="B9" s="17" t="s">
        <v>80</v>
      </c>
      <c r="C9" s="18">
        <v>3400000</v>
      </c>
      <c r="D9" s="18">
        <f>'최초예산내역-세입'!E23</f>
        <v>3200000</v>
      </c>
      <c r="E9" s="19">
        <f t="shared" si="0"/>
        <v>-200000</v>
      </c>
    </row>
    <row r="10" spans="1:7" ht="21" customHeight="1" x14ac:dyDescent="0.15">
      <c r="A10" s="21" t="s">
        <v>81</v>
      </c>
      <c r="B10" s="22" t="s">
        <v>81</v>
      </c>
      <c r="C10" s="23">
        <v>3805915</v>
      </c>
      <c r="D10" s="23">
        <f>'최초예산내역-세입'!E27</f>
        <v>5498056</v>
      </c>
      <c r="E10" s="24">
        <f t="shared" si="0"/>
        <v>1692141</v>
      </c>
    </row>
    <row r="11" spans="1:7" ht="21" customHeight="1" x14ac:dyDescent="0.15">
      <c r="A11" s="25" t="s">
        <v>82</v>
      </c>
      <c r="B11" s="26" t="s">
        <v>82</v>
      </c>
      <c r="C11" s="27">
        <v>7977085</v>
      </c>
      <c r="D11" s="27">
        <f>'최초예산내역-세입'!I38</f>
        <v>12000000</v>
      </c>
      <c r="E11" s="28">
        <f t="shared" si="0"/>
        <v>4022915</v>
      </c>
    </row>
    <row r="12" spans="1:7" ht="21" customHeight="1" x14ac:dyDescent="0.15">
      <c r="A12" s="5"/>
      <c r="B12" s="5"/>
      <c r="C12" s="6"/>
      <c r="D12" s="155"/>
      <c r="E12" s="7"/>
    </row>
    <row r="13" spans="1:7" ht="21" customHeight="1" x14ac:dyDescent="0.15">
      <c r="A13" s="8"/>
      <c r="B13" s="8"/>
      <c r="C13" s="8"/>
      <c r="D13" s="8"/>
      <c r="E13" s="35" t="s">
        <v>83</v>
      </c>
    </row>
    <row r="14" spans="1:7" ht="21" customHeight="1" x14ac:dyDescent="0.15">
      <c r="A14" s="268" t="s">
        <v>6</v>
      </c>
      <c r="B14" s="269"/>
      <c r="C14" s="269"/>
      <c r="D14" s="269"/>
      <c r="E14" s="270"/>
    </row>
    <row r="15" spans="1:7" ht="21" customHeight="1" thickBot="1" x14ac:dyDescent="0.2">
      <c r="A15" s="12" t="s">
        <v>7</v>
      </c>
      <c r="B15" s="13" t="s">
        <v>8</v>
      </c>
      <c r="C15" s="88" t="s">
        <v>224</v>
      </c>
      <c r="D15" s="89" t="s">
        <v>227</v>
      </c>
      <c r="E15" s="14" t="s">
        <v>9</v>
      </c>
    </row>
    <row r="16" spans="1:7" ht="21" customHeight="1" thickTop="1" x14ac:dyDescent="0.15">
      <c r="A16" s="29" t="s">
        <v>10</v>
      </c>
      <c r="B16" s="30"/>
      <c r="C16" s="15">
        <v>418295999.73722398</v>
      </c>
      <c r="D16" s="15">
        <f>SUM(D17:D24)</f>
        <v>437334999.91595107</v>
      </c>
      <c r="E16" s="31">
        <f t="shared" ref="E16:E24" si="1">D16-C16</f>
        <v>19039000.17872709</v>
      </c>
      <c r="F16" s="178"/>
    </row>
    <row r="17" spans="1:6" ht="21" customHeight="1" x14ac:dyDescent="0.15">
      <c r="A17" s="264" t="s">
        <v>84</v>
      </c>
      <c r="B17" s="32" t="s">
        <v>85</v>
      </c>
      <c r="C17" s="33">
        <v>325886293.73722398</v>
      </c>
      <c r="D17" s="33">
        <f>'최초예산내역-세출'!E8</f>
        <v>347816001.91595107</v>
      </c>
      <c r="E17" s="76">
        <f t="shared" si="1"/>
        <v>21929708.17872709</v>
      </c>
      <c r="F17" s="178"/>
    </row>
    <row r="18" spans="1:6" ht="21" customHeight="1" x14ac:dyDescent="0.15">
      <c r="A18" s="265"/>
      <c r="B18" s="17" t="s">
        <v>87</v>
      </c>
      <c r="C18" s="34">
        <v>1200000</v>
      </c>
      <c r="D18" s="34">
        <f>'최초예산내역-세출'!E47</f>
        <v>1440000</v>
      </c>
      <c r="E18" s="77">
        <f t="shared" si="1"/>
        <v>240000</v>
      </c>
    </row>
    <row r="19" spans="1:6" ht="21" customHeight="1" x14ac:dyDescent="0.15">
      <c r="A19" s="266"/>
      <c r="B19" s="17" t="s">
        <v>86</v>
      </c>
      <c r="C19" s="34">
        <v>38644000</v>
      </c>
      <c r="D19" s="34">
        <f>'최초예산내역-세출'!E52</f>
        <v>38644000</v>
      </c>
      <c r="E19" s="77">
        <f t="shared" si="1"/>
        <v>0</v>
      </c>
    </row>
    <row r="20" spans="1:6" ht="21" customHeight="1" x14ac:dyDescent="0.15">
      <c r="A20" s="20" t="s">
        <v>88</v>
      </c>
      <c r="B20" s="17" t="s">
        <v>89</v>
      </c>
      <c r="C20" s="34">
        <v>6665196</v>
      </c>
      <c r="D20" s="34">
        <f>'최초예산내역-세출'!E77</f>
        <v>6665196</v>
      </c>
      <c r="E20" s="77">
        <f t="shared" si="1"/>
        <v>0</v>
      </c>
    </row>
    <row r="21" spans="1:6" ht="21" customHeight="1" x14ac:dyDescent="0.15">
      <c r="A21" s="264" t="s">
        <v>90</v>
      </c>
      <c r="B21" s="17" t="s">
        <v>86</v>
      </c>
      <c r="C21" s="34">
        <v>21830000</v>
      </c>
      <c r="D21" s="34">
        <f>'최초예산내역-세출'!E87</f>
        <v>26008000</v>
      </c>
      <c r="E21" s="77">
        <f t="shared" si="1"/>
        <v>4178000</v>
      </c>
    </row>
    <row r="22" spans="1:6" ht="21" customHeight="1" x14ac:dyDescent="0.15">
      <c r="A22" s="265"/>
      <c r="B22" s="17" t="s">
        <v>90</v>
      </c>
      <c r="C22" s="34">
        <v>12222000</v>
      </c>
      <c r="D22" s="34">
        <f>'최초예산내역-세출'!E93</f>
        <v>9760000</v>
      </c>
      <c r="E22" s="77">
        <f t="shared" si="1"/>
        <v>-2462000</v>
      </c>
    </row>
    <row r="23" spans="1:6" ht="21" customHeight="1" x14ac:dyDescent="0.15">
      <c r="A23" s="266"/>
      <c r="B23" s="17" t="s">
        <v>92</v>
      </c>
      <c r="C23" s="34">
        <v>11673000</v>
      </c>
      <c r="D23" s="34">
        <f>'최초예산내역-세출'!E125</f>
        <v>6823000</v>
      </c>
      <c r="E23" s="77">
        <f t="shared" si="1"/>
        <v>-4850000</v>
      </c>
    </row>
    <row r="24" spans="1:6" ht="21" customHeight="1" x14ac:dyDescent="0.15">
      <c r="A24" s="25" t="s">
        <v>91</v>
      </c>
      <c r="B24" s="26" t="s">
        <v>91</v>
      </c>
      <c r="C24" s="27">
        <v>175510</v>
      </c>
      <c r="D24" s="27">
        <f>'최초예산내역-세출'!E139</f>
        <v>178802</v>
      </c>
      <c r="E24" s="37">
        <f t="shared" si="1"/>
        <v>3292</v>
      </c>
    </row>
    <row r="25" spans="1:6" x14ac:dyDescent="0.15">
      <c r="A25" s="9"/>
      <c r="B25" s="9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 xml:space="preserve">&amp;R참좋은기억학교(2022.11.25.)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BreakPreview" zoomScaleNormal="100" zoomScaleSheetLayoutView="100" workbookViewId="0">
      <selection sqref="A1:H1"/>
    </sheetView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104" customWidth="1"/>
    <col min="5" max="5" width="13" style="104" customWidth="1"/>
    <col min="6" max="6" width="11.77734375" style="104" customWidth="1"/>
    <col min="7" max="7" width="10.109375" style="75" customWidth="1"/>
    <col min="8" max="8" width="40.33203125" style="38" customWidth="1"/>
    <col min="9" max="9" width="13.21875" style="125" bestFit="1" customWidth="1"/>
    <col min="10" max="10" width="11.44140625" style="38" bestFit="1" customWidth="1"/>
    <col min="11" max="11" width="14" style="135" bestFit="1" customWidth="1"/>
    <col min="12" max="12" width="12.44140625" style="38" bestFit="1" customWidth="1"/>
    <col min="13" max="16384" width="8.88671875" style="38"/>
  </cols>
  <sheetData>
    <row r="1" spans="1:12" ht="20.100000000000001" customHeight="1" x14ac:dyDescent="0.15">
      <c r="A1" s="277" t="s">
        <v>172</v>
      </c>
      <c r="B1" s="277"/>
      <c r="C1" s="277"/>
      <c r="D1" s="277"/>
      <c r="E1" s="277"/>
      <c r="F1" s="277"/>
      <c r="G1" s="277"/>
      <c r="H1" s="277"/>
    </row>
    <row r="2" spans="1:12" ht="20.100000000000001" customHeight="1" x14ac:dyDescent="0.15">
      <c r="A2" s="116"/>
      <c r="B2" s="116"/>
      <c r="C2" s="116"/>
      <c r="D2" s="145"/>
      <c r="E2" s="145"/>
      <c r="F2" s="145"/>
      <c r="G2" s="116"/>
      <c r="H2" s="144"/>
    </row>
    <row r="3" spans="1:12" ht="20.100000000000001" customHeight="1" x14ac:dyDescent="0.15">
      <c r="A3" s="278" t="s">
        <v>128</v>
      </c>
      <c r="B3" s="279"/>
      <c r="C3" s="279"/>
      <c r="D3" s="7"/>
      <c r="E3" s="201"/>
      <c r="F3" s="7"/>
      <c r="H3" s="280" t="s">
        <v>12</v>
      </c>
      <c r="I3" s="281"/>
    </row>
    <row r="4" spans="1:12" ht="20.100000000000001" customHeight="1" x14ac:dyDescent="0.15">
      <c r="A4" s="282" t="s">
        <v>13</v>
      </c>
      <c r="B4" s="283"/>
      <c r="C4" s="269"/>
      <c r="D4" s="284" t="s">
        <v>224</v>
      </c>
      <c r="E4" s="284" t="s">
        <v>228</v>
      </c>
      <c r="F4" s="286" t="s">
        <v>4</v>
      </c>
      <c r="G4" s="286"/>
      <c r="H4" s="287" t="s">
        <v>14</v>
      </c>
      <c r="I4" s="288"/>
    </row>
    <row r="5" spans="1:12" ht="20.100000000000001" customHeight="1" thickBot="1" x14ac:dyDescent="0.2">
      <c r="A5" s="12" t="s">
        <v>15</v>
      </c>
      <c r="B5" s="39" t="s">
        <v>16</v>
      </c>
      <c r="C5" s="39" t="s">
        <v>17</v>
      </c>
      <c r="D5" s="285"/>
      <c r="E5" s="285"/>
      <c r="F5" s="124" t="s">
        <v>18</v>
      </c>
      <c r="G5" s="93" t="s">
        <v>19</v>
      </c>
      <c r="H5" s="289"/>
      <c r="I5" s="290"/>
    </row>
    <row r="6" spans="1:12" ht="20.100000000000001" customHeight="1" thickTop="1" x14ac:dyDescent="0.15">
      <c r="A6" s="271" t="s">
        <v>20</v>
      </c>
      <c r="B6" s="291"/>
      <c r="C6" s="292"/>
      <c r="D6" s="129">
        <f>'[1]결산추경예산내역-세입'!$E$6</f>
        <v>418296000</v>
      </c>
      <c r="E6" s="129">
        <f>E7+E11+E27+E35+E23+E18</f>
        <v>437335000</v>
      </c>
      <c r="F6" s="40">
        <f>E6-D6</f>
        <v>19039000</v>
      </c>
      <c r="G6" s="97">
        <f>E6/D6*100</f>
        <v>104.55156157362251</v>
      </c>
      <c r="H6" s="195"/>
      <c r="I6" s="262"/>
      <c r="J6" s="104"/>
    </row>
    <row r="7" spans="1:12" ht="20.100000000000001" customHeight="1" x14ac:dyDescent="0.15">
      <c r="A7" s="275" t="s">
        <v>30</v>
      </c>
      <c r="B7" s="276"/>
      <c r="C7" s="274"/>
      <c r="D7" s="45">
        <f>'[1]결산추경예산내역-세입'!$E$7</f>
        <v>41000000</v>
      </c>
      <c r="E7" s="45">
        <f>I10</f>
        <v>47120000</v>
      </c>
      <c r="F7" s="40">
        <f t="shared" ref="F7:F37" si="0">E7-D7</f>
        <v>6120000</v>
      </c>
      <c r="G7" s="97">
        <f>E7/D7*100</f>
        <v>114.92682926829268</v>
      </c>
      <c r="H7" s="196" t="s">
        <v>31</v>
      </c>
      <c r="I7" s="126"/>
    </row>
    <row r="8" spans="1:12" ht="20.100000000000001" customHeight="1" x14ac:dyDescent="0.15">
      <c r="A8" s="265"/>
      <c r="B8" s="273" t="s">
        <v>31</v>
      </c>
      <c r="C8" s="274"/>
      <c r="D8" s="41">
        <f>'[1]결산추경예산내역-세입'!$E$8</f>
        <v>41000000</v>
      </c>
      <c r="E8" s="41">
        <f>E9</f>
        <v>47120000</v>
      </c>
      <c r="F8" s="52">
        <f t="shared" si="0"/>
        <v>6120000</v>
      </c>
      <c r="G8" s="98">
        <f t="shared" ref="G8:G37" si="1">E8/D8*100</f>
        <v>114.92682926829268</v>
      </c>
      <c r="H8" s="196" t="s">
        <v>31</v>
      </c>
      <c r="I8" s="126"/>
      <c r="J8" s="104"/>
    </row>
    <row r="9" spans="1:12" ht="20.100000000000001" customHeight="1" x14ac:dyDescent="0.15">
      <c r="A9" s="265"/>
      <c r="B9" s="293"/>
      <c r="C9" s="43" t="s">
        <v>31</v>
      </c>
      <c r="D9" s="66">
        <f>'[1]결산추경예산내역-세입'!$E$9</f>
        <v>41000000</v>
      </c>
      <c r="E9" s="66">
        <f>I10</f>
        <v>47120000</v>
      </c>
      <c r="F9" s="46">
        <f t="shared" si="0"/>
        <v>6120000</v>
      </c>
      <c r="G9" s="100">
        <f t="shared" si="1"/>
        <v>114.92682926829268</v>
      </c>
      <c r="H9" s="194" t="s">
        <v>31</v>
      </c>
      <c r="I9" s="127"/>
    </row>
    <row r="10" spans="1:12" ht="20.100000000000001" customHeight="1" x14ac:dyDescent="0.15">
      <c r="A10" s="265"/>
      <c r="B10" s="293"/>
      <c r="C10" s="64"/>
      <c r="D10" s="67"/>
      <c r="E10" s="67"/>
      <c r="F10" s="68"/>
      <c r="G10" s="102"/>
      <c r="H10" s="208" t="s">
        <v>234</v>
      </c>
      <c r="I10" s="132">
        <f>10000*19*248</f>
        <v>47120000</v>
      </c>
    </row>
    <row r="11" spans="1:12" ht="20.100000000000001" customHeight="1" x14ac:dyDescent="0.15">
      <c r="A11" s="275" t="s">
        <v>32</v>
      </c>
      <c r="B11" s="276"/>
      <c r="C11" s="274"/>
      <c r="D11" s="44">
        <f>'[1]결산추경예산내역-세입'!$E$11</f>
        <v>361813000</v>
      </c>
      <c r="E11" s="44">
        <f>E12</f>
        <v>368616944</v>
      </c>
      <c r="F11" s="45">
        <f t="shared" si="0"/>
        <v>6803944</v>
      </c>
      <c r="G11" s="99">
        <f t="shared" si="1"/>
        <v>101.88051396715983</v>
      </c>
      <c r="H11" s="196" t="s">
        <v>32</v>
      </c>
      <c r="I11" s="126"/>
      <c r="J11" s="104"/>
    </row>
    <row r="12" spans="1:12" ht="20.100000000000001" customHeight="1" x14ac:dyDescent="0.15">
      <c r="A12" s="61"/>
      <c r="B12" s="273" t="s">
        <v>32</v>
      </c>
      <c r="C12" s="274"/>
      <c r="D12" s="66">
        <f>'[1]결산추경예산내역-세입'!$E$12</f>
        <v>361813000</v>
      </c>
      <c r="E12" s="66">
        <f>SUM(E13:E17)</f>
        <v>368616944</v>
      </c>
      <c r="F12" s="52">
        <f t="shared" si="0"/>
        <v>6803944</v>
      </c>
      <c r="G12" s="98">
        <f t="shared" si="1"/>
        <v>101.88051396715983</v>
      </c>
      <c r="H12" s="196" t="s">
        <v>38</v>
      </c>
      <c r="I12" s="126"/>
    </row>
    <row r="13" spans="1:12" ht="20.100000000000001" customHeight="1" x14ac:dyDescent="0.15">
      <c r="A13" s="61" t="s">
        <v>147</v>
      </c>
      <c r="B13" s="260"/>
      <c r="C13" s="65" t="s">
        <v>118</v>
      </c>
      <c r="D13" s="34">
        <v>0</v>
      </c>
      <c r="E13" s="34">
        <v>0</v>
      </c>
      <c r="F13" s="41">
        <f t="shared" si="0"/>
        <v>0</v>
      </c>
      <c r="G13" s="98">
        <v>0</v>
      </c>
      <c r="H13" s="196" t="s">
        <v>117</v>
      </c>
      <c r="I13" s="126"/>
    </row>
    <row r="14" spans="1:12" ht="20.100000000000001" customHeight="1" x14ac:dyDescent="0.15">
      <c r="A14" s="61"/>
      <c r="B14" s="260"/>
      <c r="C14" s="43" t="s">
        <v>119</v>
      </c>
      <c r="D14" s="66">
        <v>0</v>
      </c>
      <c r="E14" s="66">
        <v>0</v>
      </c>
      <c r="F14" s="46">
        <f t="shared" si="0"/>
        <v>0</v>
      </c>
      <c r="G14" s="98">
        <v>0</v>
      </c>
      <c r="H14" s="196" t="s">
        <v>229</v>
      </c>
      <c r="I14" s="126"/>
      <c r="L14" s="75"/>
    </row>
    <row r="15" spans="1:12" ht="20.100000000000001" customHeight="1" x14ac:dyDescent="0.15">
      <c r="A15" s="61"/>
      <c r="B15" s="260"/>
      <c r="C15" s="43" t="s">
        <v>120</v>
      </c>
      <c r="D15" s="66">
        <f>'[1]결산추경예산내역-세입'!$E$15</f>
        <v>361813000</v>
      </c>
      <c r="E15" s="66">
        <f>I16+I17</f>
        <v>368616944</v>
      </c>
      <c r="F15" s="46">
        <f t="shared" si="0"/>
        <v>6803944</v>
      </c>
      <c r="G15" s="106">
        <f t="shared" si="1"/>
        <v>101.88051396715983</v>
      </c>
      <c r="H15" s="194" t="s">
        <v>116</v>
      </c>
      <c r="I15" s="127"/>
    </row>
    <row r="16" spans="1:12" ht="20.100000000000001" customHeight="1" x14ac:dyDescent="0.15">
      <c r="A16" s="61"/>
      <c r="B16" s="260"/>
      <c r="C16" s="64"/>
      <c r="D16" s="67"/>
      <c r="E16" s="67"/>
      <c r="F16" s="68"/>
      <c r="G16" s="103"/>
      <c r="H16" s="208" t="s">
        <v>222</v>
      </c>
      <c r="I16" s="132">
        <f>86654236*4</f>
        <v>346616944</v>
      </c>
      <c r="J16" s="135"/>
      <c r="L16" s="104"/>
    </row>
    <row r="17" spans="1:12" ht="20.100000000000001" customHeight="1" x14ac:dyDescent="0.15">
      <c r="A17" s="61"/>
      <c r="B17" s="260"/>
      <c r="C17" s="64"/>
      <c r="D17" s="33"/>
      <c r="E17" s="67"/>
      <c r="F17" s="68"/>
      <c r="G17" s="106"/>
      <c r="H17" s="208" t="s">
        <v>218</v>
      </c>
      <c r="I17" s="132">
        <f>5500000*4</f>
        <v>22000000</v>
      </c>
      <c r="J17" s="135"/>
      <c r="L17" s="104"/>
    </row>
    <row r="18" spans="1:12" ht="20.100000000000001" customHeight="1" x14ac:dyDescent="0.15">
      <c r="A18" s="275" t="s">
        <v>33</v>
      </c>
      <c r="B18" s="276"/>
      <c r="C18" s="274"/>
      <c r="D18" s="44">
        <f>'[1]결산추경예산내역-세입'!$E$19</f>
        <v>300000</v>
      </c>
      <c r="E18" s="44">
        <f>E19</f>
        <v>900000</v>
      </c>
      <c r="F18" s="45">
        <f t="shared" ref="F18:F31" si="2">E18-D18</f>
        <v>600000</v>
      </c>
      <c r="G18" s="99">
        <v>0</v>
      </c>
      <c r="H18" s="196" t="s">
        <v>33</v>
      </c>
      <c r="I18" s="126"/>
      <c r="L18" s="75"/>
    </row>
    <row r="19" spans="1:12" ht="20.100000000000001" customHeight="1" x14ac:dyDescent="0.15">
      <c r="A19" s="61"/>
      <c r="B19" s="273" t="s">
        <v>33</v>
      </c>
      <c r="C19" s="274"/>
      <c r="D19" s="34">
        <f>SUM(D20:D22)</f>
        <v>300000</v>
      </c>
      <c r="E19" s="34">
        <f>SUM(E20:E22)</f>
        <v>900000</v>
      </c>
      <c r="F19" s="52">
        <f t="shared" si="2"/>
        <v>600000</v>
      </c>
      <c r="G19" s="98">
        <v>0</v>
      </c>
      <c r="H19" s="196" t="s">
        <v>33</v>
      </c>
      <c r="I19" s="126"/>
      <c r="L19" s="75"/>
    </row>
    <row r="20" spans="1:12" ht="20.100000000000001" customHeight="1" x14ac:dyDescent="0.15">
      <c r="A20" s="61"/>
      <c r="B20" s="260"/>
      <c r="C20" s="65" t="s">
        <v>34</v>
      </c>
      <c r="D20" s="34">
        <f>'[1]결산추경예산내역-세입'!$E$21</f>
        <v>0</v>
      </c>
      <c r="E20" s="34">
        <v>0</v>
      </c>
      <c r="F20" s="52">
        <f t="shared" si="2"/>
        <v>0</v>
      </c>
      <c r="G20" s="98">
        <v>0</v>
      </c>
      <c r="H20" s="196" t="s">
        <v>34</v>
      </c>
      <c r="I20" s="126"/>
      <c r="L20" s="75"/>
    </row>
    <row r="21" spans="1:12" ht="20.100000000000001" customHeight="1" x14ac:dyDescent="0.15">
      <c r="A21" s="61"/>
      <c r="B21" s="260"/>
      <c r="C21" s="43" t="s">
        <v>35</v>
      </c>
      <c r="D21" s="66">
        <f>'[1]결산추경예산내역-세입'!$E$22</f>
        <v>300000</v>
      </c>
      <c r="E21" s="66">
        <f>I22</f>
        <v>900000</v>
      </c>
      <c r="F21" s="68">
        <f t="shared" si="2"/>
        <v>600000</v>
      </c>
      <c r="G21" s="106">
        <v>0</v>
      </c>
      <c r="H21" s="194" t="s">
        <v>35</v>
      </c>
      <c r="I21" s="127"/>
      <c r="L21" s="75"/>
    </row>
    <row r="22" spans="1:12" ht="20.100000000000001" customHeight="1" x14ac:dyDescent="0.15">
      <c r="A22" s="61"/>
      <c r="B22" s="60"/>
      <c r="C22" s="65"/>
      <c r="D22" s="33"/>
      <c r="E22" s="33"/>
      <c r="F22" s="52"/>
      <c r="G22" s="117"/>
      <c r="H22" s="195" t="s">
        <v>252</v>
      </c>
      <c r="I22" s="133">
        <f>150000*6</f>
        <v>900000</v>
      </c>
      <c r="L22" s="104"/>
    </row>
    <row r="23" spans="1:12" ht="20.100000000000001" customHeight="1" x14ac:dyDescent="0.15">
      <c r="A23" s="275" t="s">
        <v>37</v>
      </c>
      <c r="B23" s="276"/>
      <c r="C23" s="274"/>
      <c r="D23" s="44">
        <f>'[1]결산추경예산내역-세입'!$E$24</f>
        <v>3400000</v>
      </c>
      <c r="E23" s="44">
        <f>E24</f>
        <v>3200000</v>
      </c>
      <c r="F23" s="40">
        <f t="shared" si="2"/>
        <v>-200000</v>
      </c>
      <c r="G23" s="98">
        <v>0</v>
      </c>
      <c r="H23" s="196" t="s">
        <v>37</v>
      </c>
      <c r="I23" s="126"/>
      <c r="L23" s="104"/>
    </row>
    <row r="24" spans="1:12" ht="20.100000000000001" customHeight="1" x14ac:dyDescent="0.15">
      <c r="A24" s="61"/>
      <c r="B24" s="273" t="s">
        <v>37</v>
      </c>
      <c r="C24" s="274"/>
      <c r="D24" s="34">
        <f>'[1]결산추경예산내역-세입'!$E$25</f>
        <v>3400000</v>
      </c>
      <c r="E24" s="34">
        <f>E25</f>
        <v>3200000</v>
      </c>
      <c r="F24" s="52">
        <f t="shared" si="2"/>
        <v>-200000</v>
      </c>
      <c r="G24" s="98">
        <v>0</v>
      </c>
      <c r="H24" s="196" t="s">
        <v>37</v>
      </c>
      <c r="I24" s="126"/>
      <c r="L24" s="75"/>
    </row>
    <row r="25" spans="1:12" ht="20.100000000000001" customHeight="1" x14ac:dyDescent="0.15">
      <c r="A25" s="61"/>
      <c r="B25" s="260"/>
      <c r="C25" s="43" t="s">
        <v>155</v>
      </c>
      <c r="D25" s="66">
        <f>'[1]결산추경예산내역-세입'!$E$26</f>
        <v>3400000</v>
      </c>
      <c r="E25" s="66">
        <f>I26</f>
        <v>3200000</v>
      </c>
      <c r="F25" s="46">
        <f t="shared" si="2"/>
        <v>-200000</v>
      </c>
      <c r="G25" s="101">
        <v>0</v>
      </c>
      <c r="H25" s="194" t="s">
        <v>161</v>
      </c>
      <c r="I25" s="127"/>
      <c r="L25" s="75"/>
    </row>
    <row r="26" spans="1:12" ht="20.100000000000001" customHeight="1" x14ac:dyDescent="0.15">
      <c r="A26" s="263"/>
      <c r="B26" s="210"/>
      <c r="C26" s="147"/>
      <c r="D26" s="211"/>
      <c r="E26" s="211"/>
      <c r="F26" s="207"/>
      <c r="G26" s="149"/>
      <c r="H26" s="193" t="s">
        <v>217</v>
      </c>
      <c r="I26" s="134">
        <f>800000*4</f>
        <v>3200000</v>
      </c>
      <c r="L26" s="104"/>
    </row>
    <row r="27" spans="1:12" ht="20.100000000000001" customHeight="1" x14ac:dyDescent="0.15">
      <c r="A27" s="136" t="s">
        <v>24</v>
      </c>
      <c r="B27" s="49"/>
      <c r="C27" s="137"/>
      <c r="D27" s="40">
        <f>'[1]결산추경예산내역-세입'!$E$28</f>
        <v>3805915</v>
      </c>
      <c r="E27" s="40">
        <f>E28</f>
        <v>5498056</v>
      </c>
      <c r="F27" s="40">
        <f t="shared" si="2"/>
        <v>1692141</v>
      </c>
      <c r="G27" s="209">
        <f t="shared" si="1"/>
        <v>144.46081954011058</v>
      </c>
      <c r="H27" s="195" t="s">
        <v>24</v>
      </c>
      <c r="I27" s="133"/>
      <c r="K27" s="181"/>
    </row>
    <row r="28" spans="1:12" ht="20.100000000000001" customHeight="1" x14ac:dyDescent="0.15">
      <c r="A28" s="185"/>
      <c r="B28" s="257" t="s">
        <v>24</v>
      </c>
      <c r="C28" s="258"/>
      <c r="D28" s="41">
        <f>'[1]결산추경예산내역-세입'!$E$29</f>
        <v>3805915</v>
      </c>
      <c r="E28" s="41">
        <f>E29+E31</f>
        <v>5498056</v>
      </c>
      <c r="F28" s="41">
        <f t="shared" si="2"/>
        <v>1692141</v>
      </c>
      <c r="G28" s="189">
        <f t="shared" si="1"/>
        <v>144.46081954011058</v>
      </c>
      <c r="H28" s="196" t="s">
        <v>24</v>
      </c>
      <c r="I28" s="126"/>
    </row>
    <row r="29" spans="1:12" ht="20.100000000000001" customHeight="1" x14ac:dyDescent="0.15">
      <c r="A29" s="185"/>
      <c r="B29" s="69"/>
      <c r="C29" s="64" t="s">
        <v>96</v>
      </c>
      <c r="D29" s="68">
        <v>30100</v>
      </c>
      <c r="E29" s="68">
        <f>I30</f>
        <v>30100</v>
      </c>
      <c r="F29" s="68">
        <f t="shared" si="2"/>
        <v>0</v>
      </c>
      <c r="G29" s="103">
        <f t="shared" si="1"/>
        <v>100</v>
      </c>
      <c r="H29" s="208" t="s">
        <v>96</v>
      </c>
      <c r="I29" s="132"/>
    </row>
    <row r="30" spans="1:12" ht="20.100000000000001" customHeight="1" x14ac:dyDescent="0.15">
      <c r="A30" s="62"/>
      <c r="B30" s="69"/>
      <c r="C30" s="65"/>
      <c r="D30" s="52"/>
      <c r="E30" s="52"/>
      <c r="F30" s="52"/>
      <c r="G30" s="117"/>
      <c r="H30" s="208" t="s">
        <v>144</v>
      </c>
      <c r="I30" s="132">
        <f>15050*2</f>
        <v>30100</v>
      </c>
    </row>
    <row r="31" spans="1:12" ht="20.100000000000001" customHeight="1" x14ac:dyDescent="0.15">
      <c r="A31" s="62"/>
      <c r="B31" s="64"/>
      <c r="C31" s="43" t="s">
        <v>36</v>
      </c>
      <c r="D31" s="46">
        <f>'[1]결산추경예산내역-세입'!$E$32</f>
        <v>3775815</v>
      </c>
      <c r="E31" s="46">
        <f>I32+I33+I34</f>
        <v>5467956</v>
      </c>
      <c r="F31" s="46">
        <f t="shared" si="2"/>
        <v>1692141</v>
      </c>
      <c r="G31" s="101">
        <f t="shared" si="1"/>
        <v>144.81525180656359</v>
      </c>
      <c r="H31" s="194" t="s">
        <v>36</v>
      </c>
      <c r="I31" s="127"/>
    </row>
    <row r="32" spans="1:12" ht="20.100000000000001" customHeight="1" x14ac:dyDescent="0.15">
      <c r="A32" s="62"/>
      <c r="B32" s="69"/>
      <c r="C32" s="64"/>
      <c r="D32" s="68"/>
      <c r="E32" s="68"/>
      <c r="F32" s="68"/>
      <c r="G32" s="103"/>
      <c r="H32" s="208" t="s">
        <v>219</v>
      </c>
      <c r="I32" s="132">
        <f>300000*12</f>
        <v>3600000</v>
      </c>
    </row>
    <row r="33" spans="1:9" ht="20.100000000000001" customHeight="1" x14ac:dyDescent="0.15">
      <c r="A33" s="62"/>
      <c r="B33" s="69"/>
      <c r="C33" s="64"/>
      <c r="D33" s="68"/>
      <c r="E33" s="68"/>
      <c r="F33" s="68"/>
      <c r="G33" s="103"/>
      <c r="H33" s="208" t="s">
        <v>246</v>
      </c>
      <c r="I33" s="132">
        <f>150000*12</f>
        <v>1800000</v>
      </c>
    </row>
    <row r="34" spans="1:9" ht="20.100000000000001" customHeight="1" x14ac:dyDescent="0.15">
      <c r="A34" s="62"/>
      <c r="B34" s="69"/>
      <c r="C34" s="64"/>
      <c r="D34" s="68"/>
      <c r="E34" s="68"/>
      <c r="F34" s="68"/>
      <c r="G34" s="103"/>
      <c r="H34" s="208" t="s">
        <v>223</v>
      </c>
      <c r="I34" s="132">
        <f>67956*1</f>
        <v>67956</v>
      </c>
    </row>
    <row r="35" spans="1:9" ht="20.100000000000001" customHeight="1" x14ac:dyDescent="0.15">
      <c r="A35" s="114" t="s">
        <v>21</v>
      </c>
      <c r="B35" s="259"/>
      <c r="C35" s="258"/>
      <c r="D35" s="45">
        <v>7977085</v>
      </c>
      <c r="E35" s="45">
        <f>E36</f>
        <v>12000000</v>
      </c>
      <c r="F35" s="45">
        <f>E35-D35</f>
        <v>4022915</v>
      </c>
      <c r="G35" s="109">
        <f t="shared" si="1"/>
        <v>150.43089048192414</v>
      </c>
      <c r="H35" s="196" t="s">
        <v>39</v>
      </c>
      <c r="I35" s="126"/>
    </row>
    <row r="36" spans="1:9" ht="20.100000000000001" customHeight="1" x14ac:dyDescent="0.15">
      <c r="A36" s="62"/>
      <c r="B36" s="257" t="s">
        <v>22</v>
      </c>
      <c r="C36" s="258"/>
      <c r="D36" s="41">
        <v>7977085</v>
      </c>
      <c r="E36" s="41">
        <f>E37</f>
        <v>12000000</v>
      </c>
      <c r="F36" s="52">
        <f t="shared" si="0"/>
        <v>4022915</v>
      </c>
      <c r="G36" s="98">
        <f t="shared" si="1"/>
        <v>150.43089048192414</v>
      </c>
      <c r="H36" s="196" t="s">
        <v>115</v>
      </c>
      <c r="I36" s="126"/>
    </row>
    <row r="37" spans="1:9" ht="20.100000000000001" customHeight="1" x14ac:dyDescent="0.15">
      <c r="A37" s="62"/>
      <c r="B37" s="205"/>
      <c r="C37" s="43" t="s">
        <v>23</v>
      </c>
      <c r="D37" s="46">
        <v>7977085</v>
      </c>
      <c r="E37" s="46">
        <f>I38</f>
        <v>12000000</v>
      </c>
      <c r="F37" s="68">
        <f t="shared" si="0"/>
        <v>4022915</v>
      </c>
      <c r="G37" s="106">
        <f t="shared" si="1"/>
        <v>150.43089048192414</v>
      </c>
      <c r="H37" s="194" t="s">
        <v>115</v>
      </c>
      <c r="I37" s="132"/>
    </row>
    <row r="38" spans="1:9" ht="20.100000000000001" customHeight="1" x14ac:dyDescent="0.15">
      <c r="A38" s="150"/>
      <c r="B38" s="147"/>
      <c r="C38" s="152"/>
      <c r="D38" s="212">
        <v>7977085</v>
      </c>
      <c r="E38" s="207"/>
      <c r="F38" s="207"/>
      <c r="G38" s="206"/>
      <c r="H38" s="213" t="s">
        <v>177</v>
      </c>
      <c r="I38" s="134">
        <f>12000000*1</f>
        <v>12000000</v>
      </c>
    </row>
    <row r="39" spans="1:9" x14ac:dyDescent="0.15">
      <c r="D39" s="204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9"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B12:C12"/>
    <mergeCell ref="A18:C18"/>
    <mergeCell ref="B19:C19"/>
    <mergeCell ref="A23:C23"/>
    <mergeCell ref="B24:C24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8" firstPageNumber="3" fitToWidth="0" fitToHeight="0" orientation="landscape" useFirstPageNumber="1" r:id="rId2"/>
  <headerFooter alignWithMargins="0">
    <oddFooter xml:space="preserve">&amp;R참좋은기억학교(2022.11.25.)
</oddFooter>
  </headerFooter>
  <rowBreaks count="1" manualBreakCount="1">
    <brk id="2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view="pageBreakPreview" topLeftCell="A88" zoomScale="98" zoomScaleNormal="100" zoomScaleSheetLayoutView="98" workbookViewId="0">
      <selection activeCell="F138" sqref="F138:G138"/>
    </sheetView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104" customWidth="1"/>
    <col min="5" max="5" width="13" style="261" customWidth="1"/>
    <col min="6" max="6" width="11.77734375" style="245" customWidth="1"/>
    <col min="7" max="7" width="10.109375" style="75" customWidth="1"/>
    <col min="8" max="8" width="40.33203125" style="220" customWidth="1"/>
    <col min="9" max="9" width="13.21875" style="125" bestFit="1" customWidth="1"/>
    <col min="10" max="11" width="12.44140625" style="38" bestFit="1" customWidth="1"/>
    <col min="12" max="12" width="15" style="135" bestFit="1" customWidth="1"/>
    <col min="13" max="13" width="14" style="38" bestFit="1" customWidth="1"/>
    <col min="14" max="16384" width="8.88671875" style="38"/>
  </cols>
  <sheetData>
    <row r="1" spans="1:13" ht="20.100000000000001" customHeight="1" x14ac:dyDescent="0.15">
      <c r="A1" s="47" t="s">
        <v>174</v>
      </c>
      <c r="B1" s="47"/>
      <c r="C1" s="48"/>
      <c r="G1" s="94"/>
    </row>
    <row r="2" spans="1:13" ht="20.100000000000001" customHeight="1" x14ac:dyDescent="0.15">
      <c r="A2" s="47"/>
      <c r="B2" s="47"/>
      <c r="C2" s="48"/>
      <c r="G2" s="94"/>
    </row>
    <row r="3" spans="1:13" ht="20.100000000000001" customHeight="1" x14ac:dyDescent="0.15">
      <c r="A3" s="278" t="s">
        <v>128</v>
      </c>
      <c r="B3" s="278"/>
      <c r="C3" s="278"/>
      <c r="H3" s="280" t="s">
        <v>12</v>
      </c>
      <c r="I3" s="281"/>
    </row>
    <row r="4" spans="1:13" ht="20.100000000000001" customHeight="1" x14ac:dyDescent="0.15">
      <c r="A4" s="268" t="s">
        <v>13</v>
      </c>
      <c r="B4" s="286"/>
      <c r="C4" s="286"/>
      <c r="D4" s="284" t="s">
        <v>224</v>
      </c>
      <c r="E4" s="296" t="s">
        <v>228</v>
      </c>
      <c r="F4" s="286" t="s">
        <v>4</v>
      </c>
      <c r="G4" s="286"/>
      <c r="H4" s="287" t="s">
        <v>14</v>
      </c>
      <c r="I4" s="288"/>
    </row>
    <row r="5" spans="1:13" ht="20.100000000000001" customHeight="1" thickBot="1" x14ac:dyDescent="0.2">
      <c r="A5" s="12" t="s">
        <v>15</v>
      </c>
      <c r="B5" s="39" t="s">
        <v>16</v>
      </c>
      <c r="C5" s="39" t="s">
        <v>17</v>
      </c>
      <c r="D5" s="285"/>
      <c r="E5" s="297"/>
      <c r="F5" s="246" t="s">
        <v>18</v>
      </c>
      <c r="G5" s="93" t="s">
        <v>19</v>
      </c>
      <c r="H5" s="289"/>
      <c r="I5" s="290"/>
      <c r="J5" s="75"/>
    </row>
    <row r="6" spans="1:13" ht="20.100000000000001" customHeight="1" thickTop="1" x14ac:dyDescent="0.15">
      <c r="A6" s="294" t="s">
        <v>20</v>
      </c>
      <c r="B6" s="295"/>
      <c r="C6" s="295"/>
      <c r="D6" s="129">
        <f>D7+D77+D86+D139</f>
        <v>418295999.73722398</v>
      </c>
      <c r="E6" s="247">
        <f>E7+E77+E86+E139</f>
        <v>437334999.91595107</v>
      </c>
      <c r="F6" s="247">
        <f>E6-D6</f>
        <v>19039000.17872709</v>
      </c>
      <c r="G6" s="97">
        <f>E6/D6*100</f>
        <v>104.55156161920924</v>
      </c>
      <c r="H6" s="221"/>
      <c r="I6" s="132"/>
      <c r="J6" s="104"/>
    </row>
    <row r="7" spans="1:13" ht="20.100000000000001" customHeight="1" x14ac:dyDescent="0.15">
      <c r="A7" s="114" t="s">
        <v>25</v>
      </c>
      <c r="B7" s="49"/>
      <c r="C7" s="113"/>
      <c r="D7" s="51">
        <f>'[1]결산추경예산내역-세출'!$E$7</f>
        <v>365730293.73722398</v>
      </c>
      <c r="E7" s="248">
        <f>E8+E47+E52</f>
        <v>387900001.91595107</v>
      </c>
      <c r="F7" s="248">
        <f t="shared" ref="F7:F143" si="0">E7-D7</f>
        <v>22169708.17872709</v>
      </c>
      <c r="G7" s="97">
        <f>E7/D7*100</f>
        <v>106.06176424495368</v>
      </c>
      <c r="H7" s="222" t="s">
        <v>25</v>
      </c>
      <c r="I7" s="126"/>
      <c r="J7" s="104"/>
      <c r="M7" s="142"/>
    </row>
    <row r="8" spans="1:13" ht="20.25" customHeight="1" x14ac:dyDescent="0.15">
      <c r="A8" s="62"/>
      <c r="B8" s="112" t="s">
        <v>26</v>
      </c>
      <c r="C8" s="113"/>
      <c r="D8" s="50">
        <f>'[1]결산추경예산내역-세출'!$E$8</f>
        <v>325886293.73722398</v>
      </c>
      <c r="E8" s="249">
        <f>E9+E26+E35+E37+E43</f>
        <v>347816001.91595107</v>
      </c>
      <c r="F8" s="249">
        <f t="shared" si="0"/>
        <v>21929708.17872709</v>
      </c>
      <c r="G8" s="98">
        <f t="shared" ref="G8:G9" si="1">E8/D8*100</f>
        <v>106.72925145983892</v>
      </c>
      <c r="H8" s="223" t="s">
        <v>26</v>
      </c>
      <c r="I8" s="126"/>
    </row>
    <row r="9" spans="1:13" ht="20.100000000000001" customHeight="1" x14ac:dyDescent="0.15">
      <c r="A9" s="62"/>
      <c r="B9" s="64"/>
      <c r="C9" s="43" t="s">
        <v>40</v>
      </c>
      <c r="D9" s="70">
        <f>'[1]결산추경예산내역-세출'!$E$9</f>
        <v>242817600</v>
      </c>
      <c r="E9" s="250">
        <f>I9</f>
        <v>257430200</v>
      </c>
      <c r="F9" s="250">
        <f>E9-D9</f>
        <v>14612600</v>
      </c>
      <c r="G9" s="101">
        <f t="shared" si="1"/>
        <v>106.01793280223511</v>
      </c>
      <c r="H9" s="224" t="s">
        <v>41</v>
      </c>
      <c r="I9" s="128">
        <f>SUM(I10:I25)</f>
        <v>257430200</v>
      </c>
      <c r="J9" s="135"/>
      <c r="K9" s="104"/>
    </row>
    <row r="10" spans="1:13" ht="20.100000000000001" customHeight="1" x14ac:dyDescent="0.15">
      <c r="A10" s="62"/>
      <c r="B10" s="64"/>
      <c r="C10" s="64"/>
      <c r="D10" s="197"/>
      <c r="E10" s="253"/>
      <c r="F10" s="251"/>
      <c r="G10" s="95"/>
      <c r="H10" s="225" t="s">
        <v>190</v>
      </c>
      <c r="I10" s="132">
        <f>3581980*1</f>
        <v>3581980</v>
      </c>
      <c r="K10" s="104"/>
    </row>
    <row r="11" spans="1:13" ht="20.100000000000001" customHeight="1" x14ac:dyDescent="0.15">
      <c r="A11" s="62"/>
      <c r="B11" s="64"/>
      <c r="C11" s="64"/>
      <c r="D11" s="197"/>
      <c r="E11" s="253"/>
      <c r="F11" s="251"/>
      <c r="G11" s="95"/>
      <c r="H11" s="225" t="s">
        <v>237</v>
      </c>
      <c r="I11" s="132">
        <f>4028750*11</f>
        <v>44316250</v>
      </c>
      <c r="J11" s="75"/>
    </row>
    <row r="12" spans="1:13" ht="20.100000000000001" customHeight="1" x14ac:dyDescent="0.15">
      <c r="A12" s="62"/>
      <c r="B12" s="64"/>
      <c r="C12" s="64"/>
      <c r="D12" s="197"/>
      <c r="E12" s="253"/>
      <c r="F12" s="251"/>
      <c r="G12" s="95"/>
      <c r="H12" s="225" t="s">
        <v>191</v>
      </c>
      <c r="I12" s="132">
        <f>2759130*1</f>
        <v>2759130</v>
      </c>
      <c r="J12" s="75"/>
    </row>
    <row r="13" spans="1:13" ht="20.100000000000001" customHeight="1" x14ac:dyDescent="0.15">
      <c r="A13" s="62"/>
      <c r="B13" s="64"/>
      <c r="C13" s="64"/>
      <c r="D13" s="197"/>
      <c r="E13" s="253"/>
      <c r="F13" s="251"/>
      <c r="G13" s="95"/>
      <c r="H13" s="225" t="s">
        <v>192</v>
      </c>
      <c r="I13" s="132">
        <f>2855840*11</f>
        <v>31414240</v>
      </c>
      <c r="J13" s="75"/>
    </row>
    <row r="14" spans="1:13" ht="20.100000000000001" customHeight="1" x14ac:dyDescent="0.15">
      <c r="A14" s="62"/>
      <c r="B14" s="64"/>
      <c r="C14" s="64"/>
      <c r="D14" s="197"/>
      <c r="E14" s="253"/>
      <c r="F14" s="251"/>
      <c r="G14" s="95"/>
      <c r="H14" s="225" t="s">
        <v>193</v>
      </c>
      <c r="I14" s="132">
        <f>2465920*9</f>
        <v>22193280</v>
      </c>
      <c r="J14" s="75"/>
    </row>
    <row r="15" spans="1:13" ht="20.100000000000001" customHeight="1" x14ac:dyDescent="0.15">
      <c r="A15" s="62"/>
      <c r="B15" s="64"/>
      <c r="C15" s="64"/>
      <c r="D15" s="197"/>
      <c r="E15" s="253"/>
      <c r="F15" s="251"/>
      <c r="G15" s="95"/>
      <c r="H15" s="225" t="s">
        <v>194</v>
      </c>
      <c r="I15" s="132">
        <f>2559290*3</f>
        <v>7677870</v>
      </c>
      <c r="J15" s="75"/>
    </row>
    <row r="16" spans="1:13" ht="20.100000000000001" customHeight="1" x14ac:dyDescent="0.15">
      <c r="A16" s="62"/>
      <c r="B16" s="64"/>
      <c r="C16" s="64"/>
      <c r="D16" s="197"/>
      <c r="E16" s="253"/>
      <c r="F16" s="251"/>
      <c r="G16" s="95"/>
      <c r="H16" s="225" t="s">
        <v>196</v>
      </c>
      <c r="I16" s="132">
        <f>2100720*10</f>
        <v>21007200</v>
      </c>
      <c r="J16" s="75"/>
    </row>
    <row r="17" spans="1:11" ht="20.100000000000001" customHeight="1" x14ac:dyDescent="0.15">
      <c r="A17" s="62"/>
      <c r="B17" s="64"/>
      <c r="C17" s="219"/>
      <c r="D17" s="197"/>
      <c r="E17" s="253"/>
      <c r="F17" s="251"/>
      <c r="G17" s="95"/>
      <c r="H17" s="225" t="s">
        <v>195</v>
      </c>
      <c r="I17" s="132">
        <f>2159500*2</f>
        <v>4319000</v>
      </c>
      <c r="J17" s="75"/>
    </row>
    <row r="18" spans="1:11" ht="20.100000000000001" customHeight="1" x14ac:dyDescent="0.15">
      <c r="A18" s="62"/>
      <c r="B18" s="64"/>
      <c r="C18" s="64"/>
      <c r="D18" s="197"/>
      <c r="E18" s="253"/>
      <c r="F18" s="251"/>
      <c r="G18" s="95"/>
      <c r="H18" s="225" t="s">
        <v>197</v>
      </c>
      <c r="I18" s="132">
        <f>2054960*2</f>
        <v>4109920</v>
      </c>
      <c r="J18" s="75"/>
    </row>
    <row r="19" spans="1:11" ht="20.100000000000001" customHeight="1" x14ac:dyDescent="0.15">
      <c r="A19" s="62"/>
      <c r="B19" s="64"/>
      <c r="C19" s="64"/>
      <c r="D19" s="197"/>
      <c r="E19" s="253"/>
      <c r="F19" s="251"/>
      <c r="G19" s="95"/>
      <c r="H19" s="225" t="s">
        <v>198</v>
      </c>
      <c r="I19" s="132">
        <f>2100720*10</f>
        <v>21007200</v>
      </c>
      <c r="J19" s="75"/>
    </row>
    <row r="20" spans="1:11" ht="20.100000000000001" customHeight="1" x14ac:dyDescent="0.15">
      <c r="A20" s="62"/>
      <c r="B20" s="64"/>
      <c r="C20" s="64"/>
      <c r="D20" s="197"/>
      <c r="E20" s="253"/>
      <c r="F20" s="251"/>
      <c r="G20" s="179"/>
      <c r="H20" s="225" t="s">
        <v>203</v>
      </c>
      <c r="I20" s="132">
        <f>2220930*9</f>
        <v>19988370</v>
      </c>
      <c r="J20" s="75"/>
    </row>
    <row r="21" spans="1:11" ht="20.100000000000001" customHeight="1" x14ac:dyDescent="0.15">
      <c r="A21" s="62"/>
      <c r="B21" s="64"/>
      <c r="C21" s="64"/>
      <c r="D21" s="197"/>
      <c r="E21" s="253"/>
      <c r="F21" s="251"/>
      <c r="G21" s="95"/>
      <c r="H21" s="225" t="s">
        <v>204</v>
      </c>
      <c r="I21" s="132">
        <f>2282360*3</f>
        <v>6847080</v>
      </c>
      <c r="J21" s="75"/>
    </row>
    <row r="22" spans="1:11" ht="20.100000000000001" customHeight="1" x14ac:dyDescent="0.15">
      <c r="A22" s="62"/>
      <c r="B22" s="64"/>
      <c r="C22" s="64"/>
      <c r="D22" s="197"/>
      <c r="E22" s="253"/>
      <c r="F22" s="251"/>
      <c r="G22" s="95"/>
      <c r="H22" s="225" t="s">
        <v>199</v>
      </c>
      <c r="I22" s="132">
        <f>2034920*8</f>
        <v>16279360</v>
      </c>
      <c r="J22" s="75"/>
    </row>
    <row r="23" spans="1:11" ht="20.100000000000001" customHeight="1" x14ac:dyDescent="0.15">
      <c r="A23" s="62"/>
      <c r="B23" s="64"/>
      <c r="C23" s="64"/>
      <c r="D23" s="197"/>
      <c r="E23" s="253"/>
      <c r="F23" s="251"/>
      <c r="G23" s="95"/>
      <c r="H23" s="225" t="s">
        <v>200</v>
      </c>
      <c r="I23" s="132">
        <f>2077330*4</f>
        <v>8309320</v>
      </c>
      <c r="J23" s="75"/>
    </row>
    <row r="24" spans="1:11" ht="20.100000000000001" customHeight="1" x14ac:dyDescent="0.15">
      <c r="A24" s="62"/>
      <c r="B24" s="64"/>
      <c r="C24" s="64"/>
      <c r="D24" s="197"/>
      <c r="E24" s="253"/>
      <c r="F24" s="251"/>
      <c r="G24" s="95"/>
      <c r="H24" s="225" t="s">
        <v>201</v>
      </c>
      <c r="I24" s="132">
        <f>2065000*12*1</f>
        <v>24780000</v>
      </c>
      <c r="J24" s="75"/>
    </row>
    <row r="25" spans="1:11" ht="20.100000000000001" customHeight="1" x14ac:dyDescent="0.15">
      <c r="A25" s="150"/>
      <c r="B25" s="147"/>
      <c r="C25" s="147"/>
      <c r="D25" s="148"/>
      <c r="E25" s="255"/>
      <c r="F25" s="252"/>
      <c r="G25" s="151"/>
      <c r="H25" s="226" t="s">
        <v>202</v>
      </c>
      <c r="I25" s="134">
        <f>1570000*12*1</f>
        <v>18840000</v>
      </c>
      <c r="J25" s="75"/>
    </row>
    <row r="26" spans="1:11" ht="20.100000000000001" customHeight="1" x14ac:dyDescent="0.15">
      <c r="A26" s="62"/>
      <c r="B26" s="64"/>
      <c r="C26" s="64" t="s">
        <v>42</v>
      </c>
      <c r="D26" s="197">
        <f>'[1]결산추경예산내역-세출'!$E$26</f>
        <v>32599440</v>
      </c>
      <c r="E26" s="253">
        <f>I28+I30+I32+I34</f>
        <v>34739468</v>
      </c>
      <c r="F26" s="253">
        <f>E26-D26</f>
        <v>2140028</v>
      </c>
      <c r="G26" s="103">
        <f>E26/D26*100</f>
        <v>106.56461583389162</v>
      </c>
      <c r="H26" s="225" t="s">
        <v>42</v>
      </c>
      <c r="I26" s="132"/>
      <c r="K26" s="104"/>
    </row>
    <row r="27" spans="1:11" ht="20.100000000000001" customHeight="1" x14ac:dyDescent="0.15">
      <c r="A27" s="63"/>
      <c r="B27" s="64"/>
      <c r="C27" s="64"/>
      <c r="D27" s="197"/>
      <c r="E27" s="253"/>
      <c r="F27" s="251"/>
      <c r="G27" s="95"/>
      <c r="H27" s="225" t="s">
        <v>239</v>
      </c>
      <c r="I27" s="132"/>
    </row>
    <row r="28" spans="1:11" ht="20.100000000000001" customHeight="1" x14ac:dyDescent="0.15">
      <c r="A28" s="62"/>
      <c r="B28" s="64"/>
      <c r="C28" s="64"/>
      <c r="D28" s="197"/>
      <c r="E28" s="253"/>
      <c r="F28" s="251"/>
      <c r="G28" s="95"/>
      <c r="H28" s="227" t="s">
        <v>238</v>
      </c>
      <c r="I28" s="132">
        <f>11727409*2</f>
        <v>23454818</v>
      </c>
    </row>
    <row r="29" spans="1:11" ht="20.100000000000001" customHeight="1" x14ac:dyDescent="0.15">
      <c r="A29" s="63"/>
      <c r="B29" s="64"/>
      <c r="C29" s="64"/>
      <c r="D29" s="197"/>
      <c r="E29" s="253"/>
      <c r="F29" s="251"/>
      <c r="G29" s="95"/>
      <c r="H29" s="225" t="s">
        <v>205</v>
      </c>
      <c r="I29" s="132"/>
    </row>
    <row r="30" spans="1:11" ht="19.5" customHeight="1" x14ac:dyDescent="0.15">
      <c r="A30" s="62"/>
      <c r="B30" s="64"/>
      <c r="C30" s="64"/>
      <c r="D30" s="197"/>
      <c r="E30" s="253"/>
      <c r="F30" s="251"/>
      <c r="G30" s="95"/>
      <c r="H30" s="225" t="s">
        <v>206</v>
      </c>
      <c r="I30" s="132">
        <f>660000*4</f>
        <v>2640000</v>
      </c>
    </row>
    <row r="31" spans="1:11" ht="20.100000000000001" customHeight="1" x14ac:dyDescent="0.15">
      <c r="A31" s="62"/>
      <c r="B31" s="64"/>
      <c r="C31" s="64"/>
      <c r="D31" s="197"/>
      <c r="E31" s="253"/>
      <c r="F31" s="251"/>
      <c r="G31" s="188"/>
      <c r="H31" s="225" t="s">
        <v>207</v>
      </c>
      <c r="I31" s="132"/>
    </row>
    <row r="32" spans="1:11" ht="20.100000000000001" customHeight="1" x14ac:dyDescent="0.15">
      <c r="A32" s="62"/>
      <c r="B32" s="64"/>
      <c r="C32" s="64"/>
      <c r="D32" s="197"/>
      <c r="E32" s="253"/>
      <c r="F32" s="251"/>
      <c r="G32" s="95"/>
      <c r="H32" s="225" t="s">
        <v>221</v>
      </c>
      <c r="I32" s="132">
        <f>6844650*1</f>
        <v>6844650</v>
      </c>
      <c r="J32" s="75"/>
    </row>
    <row r="33" spans="1:11" ht="20.100000000000001" customHeight="1" x14ac:dyDescent="0.15">
      <c r="A33" s="62"/>
      <c r="B33" s="64"/>
      <c r="C33" s="64"/>
      <c r="D33" s="197"/>
      <c r="E33" s="253"/>
      <c r="F33" s="251"/>
      <c r="G33" s="95"/>
      <c r="H33" s="225" t="s">
        <v>164</v>
      </c>
      <c r="I33" s="132"/>
      <c r="J33" s="135"/>
    </row>
    <row r="34" spans="1:11" ht="20.100000000000001" customHeight="1" x14ac:dyDescent="0.15">
      <c r="A34" s="62"/>
      <c r="B34" s="64"/>
      <c r="C34" s="64"/>
      <c r="D34" s="198"/>
      <c r="E34" s="253"/>
      <c r="F34" s="251"/>
      <c r="G34" s="95"/>
      <c r="H34" s="225" t="s">
        <v>162</v>
      </c>
      <c r="I34" s="132">
        <f>100000*6*3</f>
        <v>1800000</v>
      </c>
    </row>
    <row r="35" spans="1:11" ht="20.100000000000001" customHeight="1" x14ac:dyDescent="0.15">
      <c r="A35" s="62"/>
      <c r="B35" s="64"/>
      <c r="C35" s="71" t="s">
        <v>70</v>
      </c>
      <c r="D35" s="70">
        <f>'[1]결산추경예산내역-세출'!$E$37</f>
        <v>22941420</v>
      </c>
      <c r="E35" s="250">
        <f>I36</f>
        <v>24005510</v>
      </c>
      <c r="F35" s="250">
        <f>E35-D35</f>
        <v>1064090</v>
      </c>
      <c r="G35" s="101">
        <f>E35/D35*100</f>
        <v>104.63829178838972</v>
      </c>
      <c r="H35" s="228" t="s">
        <v>70</v>
      </c>
      <c r="I35" s="127"/>
    </row>
    <row r="36" spans="1:11" ht="20.100000000000001" customHeight="1" x14ac:dyDescent="0.15">
      <c r="A36" s="62"/>
      <c r="B36" s="64"/>
      <c r="C36" s="64"/>
      <c r="D36" s="197"/>
      <c r="E36" s="253"/>
      <c r="F36" s="251"/>
      <c r="G36" s="96"/>
      <c r="H36" s="225" t="s">
        <v>240</v>
      </c>
      <c r="I36" s="133">
        <f>24005510*1</f>
        <v>24005510</v>
      </c>
      <c r="K36" s="75"/>
    </row>
    <row r="37" spans="1:11" ht="20.100000000000001" customHeight="1" x14ac:dyDescent="0.15">
      <c r="A37" s="62"/>
      <c r="B37" s="64"/>
      <c r="C37" s="43" t="s">
        <v>43</v>
      </c>
      <c r="D37" s="70">
        <f>'[1]결산추경예산내역-세출'!$E$39</f>
        <v>25187833.737223998</v>
      </c>
      <c r="E37" s="250">
        <f>SUM(I38:I42)</f>
        <v>29300823.915951058</v>
      </c>
      <c r="F37" s="250">
        <f>E37-D37</f>
        <v>4112990.1787270606</v>
      </c>
      <c r="G37" s="101">
        <f>E37/D37*100</f>
        <v>116.32927317861659</v>
      </c>
      <c r="H37" s="228" t="s">
        <v>44</v>
      </c>
      <c r="I37" s="132"/>
      <c r="K37" s="75"/>
    </row>
    <row r="38" spans="1:11" ht="20.100000000000001" customHeight="1" x14ac:dyDescent="0.15">
      <c r="A38" s="62"/>
      <c r="B38" s="64"/>
      <c r="C38" s="64"/>
      <c r="D38" s="197"/>
      <c r="E38" s="253"/>
      <c r="F38" s="251"/>
      <c r="G38" s="95"/>
      <c r="H38" s="229" t="s">
        <v>241</v>
      </c>
      <c r="I38" s="132">
        <f>288066228*4.5%</f>
        <v>12962980.26</v>
      </c>
      <c r="K38" s="75"/>
    </row>
    <row r="39" spans="1:11" ht="20.100000000000001" customHeight="1" x14ac:dyDescent="0.15">
      <c r="A39" s="62"/>
      <c r="B39" s="64"/>
      <c r="C39" s="69"/>
      <c r="D39" s="202"/>
      <c r="E39" s="253"/>
      <c r="F39" s="251"/>
      <c r="G39" s="95"/>
      <c r="H39" s="227" t="s">
        <v>242</v>
      </c>
      <c r="I39" s="132">
        <f>288066228*3.545%</f>
        <v>10211947.782600001</v>
      </c>
      <c r="K39" s="75"/>
    </row>
    <row r="40" spans="1:11" ht="20.100000000000001" customHeight="1" x14ac:dyDescent="0.15">
      <c r="A40" s="62"/>
      <c r="B40" s="64"/>
      <c r="C40" s="64"/>
      <c r="D40" s="197"/>
      <c r="E40" s="253"/>
      <c r="F40" s="251"/>
      <c r="G40" s="95"/>
      <c r="H40" s="225" t="s">
        <v>243</v>
      </c>
      <c r="I40" s="132">
        <f>I39*12.81%</f>
        <v>1308150.5109510599</v>
      </c>
      <c r="K40" s="75"/>
    </row>
    <row r="41" spans="1:11" ht="20.100000000000001" customHeight="1" x14ac:dyDescent="0.15">
      <c r="A41" s="62"/>
      <c r="B41" s="64"/>
      <c r="C41" s="64"/>
      <c r="D41" s="197"/>
      <c r="E41" s="253"/>
      <c r="F41" s="251"/>
      <c r="G41" s="95"/>
      <c r="H41" s="225" t="s">
        <v>245</v>
      </c>
      <c r="I41" s="132">
        <f>239688824*1.25%</f>
        <v>2996110.3000000003</v>
      </c>
    </row>
    <row r="42" spans="1:11" ht="20.100000000000001" customHeight="1" x14ac:dyDescent="0.15">
      <c r="A42" s="62"/>
      <c r="B42" s="64"/>
      <c r="C42" s="64"/>
      <c r="D42" s="198"/>
      <c r="E42" s="253"/>
      <c r="F42" s="251"/>
      <c r="G42" s="95"/>
      <c r="H42" s="225" t="s">
        <v>244</v>
      </c>
      <c r="I42" s="132">
        <f>239688824*0.76%</f>
        <v>1821635.0623999999</v>
      </c>
    </row>
    <row r="43" spans="1:11" ht="20.100000000000001" customHeight="1" x14ac:dyDescent="0.15">
      <c r="A43" s="62"/>
      <c r="B43" s="64"/>
      <c r="C43" s="43" t="s">
        <v>45</v>
      </c>
      <c r="D43" s="70">
        <f>'[1]결산추경예산내역-세출'!$E$46</f>
        <v>2340000</v>
      </c>
      <c r="E43" s="250">
        <f>I44+I46+I45</f>
        <v>2340000</v>
      </c>
      <c r="F43" s="250">
        <f>E43-D43</f>
        <v>0</v>
      </c>
      <c r="G43" s="101">
        <f>E43/D43*100</f>
        <v>100</v>
      </c>
      <c r="H43" s="228" t="s">
        <v>45</v>
      </c>
      <c r="I43" s="127"/>
    </row>
    <row r="44" spans="1:11" ht="20.100000000000001" customHeight="1" x14ac:dyDescent="0.15">
      <c r="A44" s="62"/>
      <c r="B44" s="64"/>
      <c r="C44" s="64"/>
      <c r="D44" s="197"/>
      <c r="E44" s="253"/>
      <c r="F44" s="251"/>
      <c r="G44" s="95"/>
      <c r="H44" s="225" t="s">
        <v>130</v>
      </c>
      <c r="I44" s="132">
        <f>1850000*1</f>
        <v>1850000</v>
      </c>
    </row>
    <row r="45" spans="1:11" ht="20.100000000000001" customHeight="1" x14ac:dyDescent="0.15">
      <c r="A45" s="62"/>
      <c r="B45" s="64"/>
      <c r="C45" s="64"/>
      <c r="D45" s="197"/>
      <c r="E45" s="253"/>
      <c r="F45" s="251"/>
      <c r="G45" s="95"/>
      <c r="H45" s="227" t="s">
        <v>131</v>
      </c>
      <c r="I45" s="132">
        <f>90000*1</f>
        <v>90000</v>
      </c>
    </row>
    <row r="46" spans="1:11" ht="19.5" customHeight="1" x14ac:dyDescent="0.15">
      <c r="A46" s="62"/>
      <c r="B46" s="64"/>
      <c r="C46" s="65"/>
      <c r="D46" s="198"/>
      <c r="E46" s="253"/>
      <c r="F46" s="254"/>
      <c r="G46" s="96"/>
      <c r="H46" s="227" t="s">
        <v>132</v>
      </c>
      <c r="I46" s="132">
        <f>200000*2</f>
        <v>400000</v>
      </c>
    </row>
    <row r="47" spans="1:11" ht="20.100000000000001" customHeight="1" x14ac:dyDescent="0.15">
      <c r="A47" s="63"/>
      <c r="B47" s="112" t="s">
        <v>46</v>
      </c>
      <c r="C47" s="137"/>
      <c r="D47" s="198">
        <f>'[1]결산추경예산내역-세출'!$E$50</f>
        <v>1200000</v>
      </c>
      <c r="E47" s="249">
        <f>E48+E50</f>
        <v>1440000</v>
      </c>
      <c r="F47" s="218">
        <f t="shared" ref="F47:F50" si="2">E47-D47</f>
        <v>240000</v>
      </c>
      <c r="G47" s="98">
        <f>E47/D47*100</f>
        <v>120</v>
      </c>
      <c r="H47" s="230" t="s">
        <v>46</v>
      </c>
      <c r="I47" s="126"/>
    </row>
    <row r="48" spans="1:11" ht="20.100000000000001" customHeight="1" x14ac:dyDescent="0.15">
      <c r="A48" s="62"/>
      <c r="B48" s="64"/>
      <c r="C48" s="59" t="s">
        <v>47</v>
      </c>
      <c r="D48" s="70">
        <f>'[1]결산추경예산내역-세출'!$E$51</f>
        <v>600000</v>
      </c>
      <c r="E48" s="250">
        <f>I49</f>
        <v>840000</v>
      </c>
      <c r="F48" s="250">
        <f t="shared" si="2"/>
        <v>240000</v>
      </c>
      <c r="G48" s="106">
        <f t="shared" ref="G48:G55" si="3">E48/D48*100</f>
        <v>140</v>
      </c>
      <c r="H48" s="228" t="s">
        <v>47</v>
      </c>
      <c r="I48" s="127"/>
    </row>
    <row r="49" spans="1:12" ht="20.100000000000001" customHeight="1" x14ac:dyDescent="0.15">
      <c r="A49" s="62"/>
      <c r="B49" s="64"/>
      <c r="C49" s="65"/>
      <c r="D49" s="198"/>
      <c r="E49" s="218"/>
      <c r="F49" s="218"/>
      <c r="G49" s="98"/>
      <c r="H49" s="231" t="s">
        <v>277</v>
      </c>
      <c r="I49" s="133">
        <f>210000*4</f>
        <v>840000</v>
      </c>
    </row>
    <row r="50" spans="1:12" ht="20.100000000000001" customHeight="1" x14ac:dyDescent="0.15">
      <c r="A50" s="62"/>
      <c r="B50" s="64"/>
      <c r="C50" s="59" t="s">
        <v>48</v>
      </c>
      <c r="D50" s="70">
        <f>'[1]결산추경예산내역-세출'!$E$53</f>
        <v>600000</v>
      </c>
      <c r="E50" s="250">
        <f>I51</f>
        <v>600000</v>
      </c>
      <c r="F50" s="250">
        <f t="shared" si="2"/>
        <v>0</v>
      </c>
      <c r="G50" s="106">
        <f t="shared" si="3"/>
        <v>100</v>
      </c>
      <c r="H50" s="228" t="s">
        <v>48</v>
      </c>
      <c r="I50" s="127"/>
    </row>
    <row r="51" spans="1:12" s="139" customFormat="1" ht="20.100000000000001" customHeight="1" x14ac:dyDescent="0.15">
      <c r="A51" s="150"/>
      <c r="B51" s="152"/>
      <c r="C51" s="147"/>
      <c r="D51" s="148"/>
      <c r="E51" s="255"/>
      <c r="F51" s="255"/>
      <c r="G51" s="149"/>
      <c r="H51" s="226" t="s">
        <v>247</v>
      </c>
      <c r="I51" s="134">
        <f>150000*4</f>
        <v>600000</v>
      </c>
      <c r="L51" s="143"/>
    </row>
    <row r="52" spans="1:12" ht="20.100000000000001" customHeight="1" x14ac:dyDescent="0.15">
      <c r="A52" s="63"/>
      <c r="B52" s="72" t="s">
        <v>49</v>
      </c>
      <c r="C52" s="137"/>
      <c r="D52" s="218">
        <f>'[1]결산추경예산내역-세출'!$E$55</f>
        <v>38644000</v>
      </c>
      <c r="E52" s="218">
        <f>E53+E55+E61+E64+E70+E73</f>
        <v>38644000</v>
      </c>
      <c r="F52" s="218">
        <f t="shared" ref="F52:F55" si="4">E52-D52</f>
        <v>0</v>
      </c>
      <c r="G52" s="98">
        <f t="shared" si="3"/>
        <v>100</v>
      </c>
      <c r="H52" s="231" t="s">
        <v>49</v>
      </c>
      <c r="I52" s="133"/>
    </row>
    <row r="53" spans="1:12" ht="20.100000000000001" customHeight="1" x14ac:dyDescent="0.15">
      <c r="A53" s="62"/>
      <c r="B53" s="64"/>
      <c r="C53" s="43" t="s">
        <v>50</v>
      </c>
      <c r="D53" s="70">
        <f>'[1]결산추경예산내역-세출'!$E$56</f>
        <v>400000</v>
      </c>
      <c r="E53" s="250">
        <f>I54</f>
        <v>400000</v>
      </c>
      <c r="F53" s="250">
        <f t="shared" si="4"/>
        <v>0</v>
      </c>
      <c r="G53" s="101">
        <f t="shared" si="3"/>
        <v>100</v>
      </c>
      <c r="H53" s="228" t="s">
        <v>50</v>
      </c>
      <c r="I53" s="127"/>
    </row>
    <row r="54" spans="1:12" ht="20.100000000000001" customHeight="1" x14ac:dyDescent="0.15">
      <c r="A54" s="62"/>
      <c r="B54" s="69"/>
      <c r="C54" s="64"/>
      <c r="D54" s="197"/>
      <c r="E54" s="253"/>
      <c r="F54" s="253"/>
      <c r="G54" s="117"/>
      <c r="H54" s="231" t="s">
        <v>248</v>
      </c>
      <c r="I54" s="133">
        <f>100000*4</f>
        <v>400000</v>
      </c>
    </row>
    <row r="55" spans="1:12" ht="20.100000000000001" customHeight="1" x14ac:dyDescent="0.15">
      <c r="A55" s="62"/>
      <c r="B55" s="64"/>
      <c r="C55" s="43" t="s">
        <v>51</v>
      </c>
      <c r="D55" s="70">
        <f>'[1]결산추경예산내역-세출'!$E$58</f>
        <v>13304000</v>
      </c>
      <c r="E55" s="250">
        <f>SUM(I56:I60)</f>
        <v>13304000</v>
      </c>
      <c r="F55" s="250">
        <f t="shared" si="4"/>
        <v>0</v>
      </c>
      <c r="G55" s="101">
        <f t="shared" si="3"/>
        <v>100</v>
      </c>
      <c r="H55" s="228" t="s">
        <v>51</v>
      </c>
      <c r="I55" s="127"/>
    </row>
    <row r="56" spans="1:12" ht="20.100000000000001" customHeight="1" x14ac:dyDescent="0.15">
      <c r="A56" s="62"/>
      <c r="B56" s="64"/>
      <c r="C56" s="64"/>
      <c r="D56" s="197"/>
      <c r="E56" s="253"/>
      <c r="F56" s="253"/>
      <c r="G56" s="95"/>
      <c r="H56" s="232" t="s">
        <v>141</v>
      </c>
      <c r="I56" s="132">
        <f>340600*8</f>
        <v>2724800</v>
      </c>
    </row>
    <row r="57" spans="1:12" ht="20.100000000000001" customHeight="1" x14ac:dyDescent="0.15">
      <c r="A57" s="63"/>
      <c r="B57" s="69"/>
      <c r="C57" s="64"/>
      <c r="D57" s="197"/>
      <c r="E57" s="253"/>
      <c r="F57" s="253"/>
      <c r="G57" s="95"/>
      <c r="H57" s="225" t="s">
        <v>142</v>
      </c>
      <c r="I57" s="132">
        <f>204600*12</f>
        <v>2455200</v>
      </c>
    </row>
    <row r="58" spans="1:12" ht="20.100000000000001" customHeight="1" x14ac:dyDescent="0.15">
      <c r="A58" s="62"/>
      <c r="B58" s="69"/>
      <c r="C58" s="64"/>
      <c r="D58" s="197"/>
      <c r="E58" s="253"/>
      <c r="F58" s="253"/>
      <c r="G58" s="95"/>
      <c r="H58" s="225" t="s">
        <v>113</v>
      </c>
      <c r="I58" s="132">
        <f>300000*4</f>
        <v>1200000</v>
      </c>
    </row>
    <row r="59" spans="1:12" ht="20.100000000000001" customHeight="1" x14ac:dyDescent="0.15">
      <c r="A59" s="62"/>
      <c r="B59" s="69"/>
      <c r="C59" s="64"/>
      <c r="D59" s="197"/>
      <c r="E59" s="253"/>
      <c r="F59" s="253"/>
      <c r="G59" s="95"/>
      <c r="H59" s="225" t="s">
        <v>122</v>
      </c>
      <c r="I59" s="132">
        <f>500000*12</f>
        <v>6000000</v>
      </c>
    </row>
    <row r="60" spans="1:12" ht="20.100000000000001" customHeight="1" x14ac:dyDescent="0.15">
      <c r="A60" s="62"/>
      <c r="B60" s="69"/>
      <c r="C60" s="64"/>
      <c r="D60" s="197"/>
      <c r="E60" s="253"/>
      <c r="F60" s="253"/>
      <c r="G60" s="95"/>
      <c r="H60" s="225" t="s">
        <v>71</v>
      </c>
      <c r="I60" s="132">
        <f>77000*12</f>
        <v>924000</v>
      </c>
    </row>
    <row r="61" spans="1:12" ht="20.100000000000001" customHeight="1" x14ac:dyDescent="0.15">
      <c r="A61" s="62"/>
      <c r="B61" s="64"/>
      <c r="C61" s="43" t="s">
        <v>52</v>
      </c>
      <c r="D61" s="70">
        <f>'[1]결산추경예산내역-세출'!$E$64</f>
        <v>5640000</v>
      </c>
      <c r="E61" s="250">
        <f>I62+I63</f>
        <v>5640000</v>
      </c>
      <c r="F61" s="250">
        <f t="shared" ref="F61" si="5">E61-D61</f>
        <v>0</v>
      </c>
      <c r="G61" s="101">
        <f t="shared" ref="G61" si="6">E61/D61*100</f>
        <v>100</v>
      </c>
      <c r="H61" s="228" t="s">
        <v>52</v>
      </c>
      <c r="I61" s="127"/>
    </row>
    <row r="62" spans="1:12" ht="20.100000000000001" customHeight="1" x14ac:dyDescent="0.15">
      <c r="A62" s="62"/>
      <c r="B62" s="69"/>
      <c r="C62" s="64"/>
      <c r="D62" s="197"/>
      <c r="E62" s="253"/>
      <c r="F62" s="253"/>
      <c r="G62" s="95"/>
      <c r="H62" s="225" t="s">
        <v>121</v>
      </c>
      <c r="I62" s="132">
        <f>70000*12</f>
        <v>840000</v>
      </c>
    </row>
    <row r="63" spans="1:12" ht="20.100000000000001" customHeight="1" x14ac:dyDescent="0.15">
      <c r="A63" s="62"/>
      <c r="B63" s="69"/>
      <c r="C63" s="64"/>
      <c r="D63" s="197"/>
      <c r="E63" s="253"/>
      <c r="F63" s="253"/>
      <c r="G63" s="95"/>
      <c r="H63" s="225" t="s">
        <v>158</v>
      </c>
      <c r="I63" s="133">
        <f>400000*12</f>
        <v>4800000</v>
      </c>
    </row>
    <row r="64" spans="1:12" ht="20.100000000000001" customHeight="1" x14ac:dyDescent="0.15">
      <c r="A64" s="62"/>
      <c r="B64" s="69"/>
      <c r="C64" s="43" t="s">
        <v>53</v>
      </c>
      <c r="D64" s="70">
        <f>'[1]결산추경예산내역-세출'!$E$67</f>
        <v>5820000</v>
      </c>
      <c r="E64" s="250">
        <f>I65+I66+I67+I68+I69</f>
        <v>5540000</v>
      </c>
      <c r="F64" s="250">
        <f t="shared" ref="F64" si="7">E64-D64</f>
        <v>-280000</v>
      </c>
      <c r="G64" s="101">
        <f t="shared" ref="G64" si="8">E64/D64*100</f>
        <v>95.189003436426106</v>
      </c>
      <c r="H64" s="228" t="s">
        <v>53</v>
      </c>
      <c r="I64" s="132"/>
    </row>
    <row r="65" spans="1:12" ht="20.100000000000001" customHeight="1" x14ac:dyDescent="0.15">
      <c r="A65" s="62"/>
      <c r="B65" s="69"/>
      <c r="C65" s="64"/>
      <c r="D65" s="197"/>
      <c r="E65" s="253"/>
      <c r="F65" s="253"/>
      <c r="G65" s="95"/>
      <c r="H65" s="225" t="s">
        <v>110</v>
      </c>
      <c r="I65" s="132">
        <f>50000*2</f>
        <v>100000</v>
      </c>
    </row>
    <row r="66" spans="1:12" ht="20.100000000000001" customHeight="1" x14ac:dyDescent="0.15">
      <c r="A66" s="62"/>
      <c r="B66" s="69"/>
      <c r="C66" s="64"/>
      <c r="D66" s="197"/>
      <c r="E66" s="253"/>
      <c r="F66" s="253"/>
      <c r="G66" s="95"/>
      <c r="H66" s="225" t="s">
        <v>175</v>
      </c>
      <c r="I66" s="132">
        <f>500000*2</f>
        <v>1000000</v>
      </c>
    </row>
    <row r="67" spans="1:12" ht="20.100000000000001" customHeight="1" x14ac:dyDescent="0.15">
      <c r="A67" s="62"/>
      <c r="B67" s="69"/>
      <c r="C67" s="64"/>
      <c r="D67" s="197"/>
      <c r="E67" s="253"/>
      <c r="F67" s="253"/>
      <c r="G67" s="95"/>
      <c r="H67" s="225" t="s">
        <v>176</v>
      </c>
      <c r="I67" s="132">
        <f>300000*4</f>
        <v>1200000</v>
      </c>
    </row>
    <row r="68" spans="1:12" ht="20.100000000000001" customHeight="1" x14ac:dyDescent="0.15">
      <c r="A68" s="62"/>
      <c r="B68" s="69"/>
      <c r="C68" s="64"/>
      <c r="D68" s="197"/>
      <c r="E68" s="253"/>
      <c r="F68" s="253"/>
      <c r="G68" s="95"/>
      <c r="H68" s="225" t="s">
        <v>249</v>
      </c>
      <c r="I68" s="132">
        <f>1000000*3</f>
        <v>3000000</v>
      </c>
    </row>
    <row r="69" spans="1:12" ht="20.100000000000001" customHeight="1" x14ac:dyDescent="0.15">
      <c r="A69" s="62"/>
      <c r="B69" s="69"/>
      <c r="C69" s="65"/>
      <c r="D69" s="198"/>
      <c r="E69" s="218"/>
      <c r="F69" s="218"/>
      <c r="G69" s="96"/>
      <c r="H69" s="231" t="s">
        <v>157</v>
      </c>
      <c r="I69" s="133">
        <f>80000*3</f>
        <v>240000</v>
      </c>
    </row>
    <row r="70" spans="1:12" ht="20.100000000000001" customHeight="1" x14ac:dyDescent="0.15">
      <c r="A70" s="63"/>
      <c r="B70" s="64"/>
      <c r="C70" s="64" t="s">
        <v>54</v>
      </c>
      <c r="D70" s="197">
        <f>'[1]결산추경예산내역-세출'!$E$73</f>
        <v>9600000</v>
      </c>
      <c r="E70" s="253">
        <f>I71+I72</f>
        <v>9600000</v>
      </c>
      <c r="F70" s="253">
        <f t="shared" ref="F70" si="9">E70-D70</f>
        <v>0</v>
      </c>
      <c r="G70" s="103">
        <f t="shared" ref="G70" si="10">E70/D70*100</f>
        <v>100</v>
      </c>
      <c r="H70" s="225" t="s">
        <v>54</v>
      </c>
      <c r="I70" s="132"/>
    </row>
    <row r="71" spans="1:12" ht="20.100000000000001" customHeight="1" x14ac:dyDescent="0.15">
      <c r="A71" s="62"/>
      <c r="B71" s="69"/>
      <c r="C71" s="64"/>
      <c r="D71" s="197"/>
      <c r="E71" s="253"/>
      <c r="F71" s="253"/>
      <c r="G71" s="95"/>
      <c r="H71" s="225" t="s">
        <v>159</v>
      </c>
      <c r="I71" s="132">
        <f>600000*12</f>
        <v>7200000</v>
      </c>
    </row>
    <row r="72" spans="1:12" ht="20.100000000000001" customHeight="1" x14ac:dyDescent="0.15">
      <c r="A72" s="62"/>
      <c r="B72" s="69"/>
      <c r="C72" s="64"/>
      <c r="D72" s="197"/>
      <c r="E72" s="253"/>
      <c r="F72" s="253"/>
      <c r="G72" s="96"/>
      <c r="H72" s="225" t="s">
        <v>165</v>
      </c>
      <c r="I72" s="133">
        <f>200000*3*4</f>
        <v>2400000</v>
      </c>
    </row>
    <row r="73" spans="1:12" ht="20.100000000000001" customHeight="1" x14ac:dyDescent="0.15">
      <c r="A73" s="62"/>
      <c r="B73" s="69"/>
      <c r="C73" s="43" t="s">
        <v>55</v>
      </c>
      <c r="D73" s="70">
        <f>'[1]결산추경예산내역-세출'!$E$76</f>
        <v>3880000</v>
      </c>
      <c r="E73" s="250">
        <f>I74+I75+I76</f>
        <v>4160000</v>
      </c>
      <c r="F73" s="250">
        <f t="shared" ref="F73" si="11">E73-D73</f>
        <v>280000</v>
      </c>
      <c r="G73" s="101">
        <f t="shared" ref="G73" si="12">E73/D73*100</f>
        <v>107.21649484536083</v>
      </c>
      <c r="H73" s="228" t="s">
        <v>55</v>
      </c>
      <c r="I73" s="132"/>
    </row>
    <row r="74" spans="1:12" ht="20.100000000000001" customHeight="1" x14ac:dyDescent="0.15">
      <c r="A74" s="62"/>
      <c r="B74" s="69"/>
      <c r="C74" s="64"/>
      <c r="D74" s="197"/>
      <c r="E74" s="253"/>
      <c r="F74" s="253"/>
      <c r="G74" s="95"/>
      <c r="H74" s="225" t="s">
        <v>178</v>
      </c>
      <c r="I74" s="132">
        <f>300000*12</f>
        <v>3600000</v>
      </c>
    </row>
    <row r="75" spans="1:12" ht="20.100000000000001" customHeight="1" x14ac:dyDescent="0.15">
      <c r="A75" s="62"/>
      <c r="B75" s="69"/>
      <c r="C75" s="64"/>
      <c r="D75" s="197"/>
      <c r="E75" s="253"/>
      <c r="F75" s="253"/>
      <c r="G75" s="95"/>
      <c r="H75" s="225" t="s">
        <v>179</v>
      </c>
      <c r="I75" s="132">
        <f>50000*9</f>
        <v>450000</v>
      </c>
    </row>
    <row r="76" spans="1:12" s="139" customFormat="1" ht="20.100000000000001" customHeight="1" x14ac:dyDescent="0.15">
      <c r="A76" s="150"/>
      <c r="B76" s="152"/>
      <c r="C76" s="147"/>
      <c r="D76" s="148"/>
      <c r="E76" s="255"/>
      <c r="F76" s="255"/>
      <c r="G76" s="151"/>
      <c r="H76" s="226" t="s">
        <v>250</v>
      </c>
      <c r="I76" s="134">
        <f>55000*2</f>
        <v>110000</v>
      </c>
      <c r="L76" s="143"/>
    </row>
    <row r="77" spans="1:12" ht="20.100000000000001" customHeight="1" x14ac:dyDescent="0.15">
      <c r="A77" s="136" t="s">
        <v>27</v>
      </c>
      <c r="B77" s="49"/>
      <c r="C77" s="137"/>
      <c r="D77" s="199">
        <f>'[1]결산추경예산내역-세출'!$E$80</f>
        <v>6665196</v>
      </c>
      <c r="E77" s="254">
        <f>E78</f>
        <v>6665196</v>
      </c>
      <c r="F77" s="254">
        <f t="shared" si="0"/>
        <v>0</v>
      </c>
      <c r="G77" s="117">
        <f t="shared" ref="G77:G96" si="13">E77/D77*100</f>
        <v>100</v>
      </c>
      <c r="H77" s="231" t="s">
        <v>27</v>
      </c>
      <c r="I77" s="138"/>
    </row>
    <row r="78" spans="1:12" ht="20.100000000000001" customHeight="1" x14ac:dyDescent="0.15">
      <c r="A78" s="265"/>
      <c r="B78" s="112" t="s">
        <v>28</v>
      </c>
      <c r="C78" s="113"/>
      <c r="D78" s="50">
        <f>'[1]결산추경예산내역-세출'!$E$81</f>
        <v>6665196</v>
      </c>
      <c r="E78" s="249">
        <f>E79+E83</f>
        <v>6665196</v>
      </c>
      <c r="F78" s="249">
        <f t="shared" si="0"/>
        <v>0</v>
      </c>
      <c r="G78" s="98">
        <f t="shared" si="13"/>
        <v>100</v>
      </c>
      <c r="H78" s="230" t="s">
        <v>28</v>
      </c>
      <c r="I78" s="126"/>
    </row>
    <row r="79" spans="1:12" ht="20.100000000000001" customHeight="1" x14ac:dyDescent="0.15">
      <c r="A79" s="265"/>
      <c r="B79" s="187"/>
      <c r="C79" s="43" t="s">
        <v>29</v>
      </c>
      <c r="D79" s="70">
        <f>'[1]결산추경예산내역-세출'!$E$82</f>
        <v>5815196</v>
      </c>
      <c r="E79" s="250">
        <f>I82+I81+I80</f>
        <v>5815196</v>
      </c>
      <c r="F79" s="250">
        <f t="shared" si="0"/>
        <v>0</v>
      </c>
      <c r="G79" s="106">
        <f t="shared" si="13"/>
        <v>100</v>
      </c>
      <c r="H79" s="233" t="s">
        <v>29</v>
      </c>
      <c r="I79" s="192"/>
    </row>
    <row r="80" spans="1:12" ht="20.100000000000001" customHeight="1" x14ac:dyDescent="0.15">
      <c r="A80" s="61"/>
      <c r="B80" s="108"/>
      <c r="C80" s="64"/>
      <c r="D80" s="197"/>
      <c r="E80" s="253"/>
      <c r="F80" s="253"/>
      <c r="G80" s="106"/>
      <c r="H80" s="234" t="s">
        <v>160</v>
      </c>
      <c r="I80" s="132">
        <f>250000*2</f>
        <v>500000</v>
      </c>
    </row>
    <row r="81" spans="1:9" ht="20.100000000000001" customHeight="1" x14ac:dyDescent="0.15">
      <c r="A81" s="61"/>
      <c r="B81" s="108"/>
      <c r="C81" s="64"/>
      <c r="D81" s="197"/>
      <c r="E81" s="253"/>
      <c r="F81" s="253"/>
      <c r="G81" s="103"/>
      <c r="H81" s="235" t="s">
        <v>148</v>
      </c>
      <c r="I81" s="132">
        <f>204600*12</f>
        <v>2455200</v>
      </c>
    </row>
    <row r="82" spans="1:9" ht="20.100000000000001" customHeight="1" x14ac:dyDescent="0.15">
      <c r="A82" s="61"/>
      <c r="B82" s="187"/>
      <c r="C82" s="65"/>
      <c r="D82" s="198"/>
      <c r="E82" s="218"/>
      <c r="F82" s="218"/>
      <c r="G82" s="117"/>
      <c r="H82" s="235" t="s">
        <v>140</v>
      </c>
      <c r="I82" s="133">
        <f>238333*12</f>
        <v>2859996</v>
      </c>
    </row>
    <row r="83" spans="1:9" ht="20.100000000000001" customHeight="1" x14ac:dyDescent="0.15">
      <c r="A83" s="200"/>
      <c r="B83" s="108"/>
      <c r="C83" s="64" t="s">
        <v>99</v>
      </c>
      <c r="D83" s="197">
        <f>'[1]결산추경예산내역-세출'!$E$86</f>
        <v>850000</v>
      </c>
      <c r="E83" s="253">
        <f>I84+I85</f>
        <v>850000</v>
      </c>
      <c r="F83" s="253">
        <f t="shared" si="0"/>
        <v>0</v>
      </c>
      <c r="G83" s="103">
        <f t="shared" si="13"/>
        <v>100</v>
      </c>
      <c r="H83" s="233" t="s">
        <v>99</v>
      </c>
      <c r="I83" s="127"/>
    </row>
    <row r="84" spans="1:9" ht="20.100000000000001" customHeight="1" x14ac:dyDescent="0.15">
      <c r="A84" s="61"/>
      <c r="B84" s="187"/>
      <c r="C84" s="64"/>
      <c r="D84" s="197"/>
      <c r="E84" s="253"/>
      <c r="F84" s="253"/>
      <c r="G84" s="106"/>
      <c r="H84" s="235" t="s">
        <v>139</v>
      </c>
      <c r="I84" s="132">
        <f>550000*1</f>
        <v>550000</v>
      </c>
    </row>
    <row r="85" spans="1:9" ht="20.100000000000001" customHeight="1" x14ac:dyDescent="0.15">
      <c r="A85" s="61"/>
      <c r="B85" s="60"/>
      <c r="C85" s="65"/>
      <c r="D85" s="197"/>
      <c r="E85" s="253"/>
      <c r="F85" s="253"/>
      <c r="G85" s="98"/>
      <c r="H85" s="235" t="s">
        <v>112</v>
      </c>
      <c r="I85" s="133">
        <f>300000*1</f>
        <v>300000</v>
      </c>
    </row>
    <row r="86" spans="1:9" ht="20.100000000000001" customHeight="1" x14ac:dyDescent="0.15">
      <c r="A86" s="114" t="s">
        <v>56</v>
      </c>
      <c r="B86" s="49"/>
      <c r="C86" s="113"/>
      <c r="D86" s="51">
        <f>'[1]결산추경예산내역-세출'!$E$89</f>
        <v>45725000</v>
      </c>
      <c r="E86" s="248">
        <f>E87+E93+E125</f>
        <v>42591000</v>
      </c>
      <c r="F86" s="248">
        <f t="shared" ref="F86:F87" si="14">E86-D86</f>
        <v>-3134000</v>
      </c>
      <c r="G86" s="99">
        <f t="shared" si="13"/>
        <v>93.145981410606893</v>
      </c>
      <c r="H86" s="230" t="s">
        <v>56</v>
      </c>
      <c r="I86" s="126"/>
    </row>
    <row r="87" spans="1:9" ht="20.100000000000001" customHeight="1" x14ac:dyDescent="0.15">
      <c r="A87" s="62"/>
      <c r="B87" s="112" t="s">
        <v>49</v>
      </c>
      <c r="C87" s="113"/>
      <c r="D87" s="50">
        <f>'[1]결산추경예산내역-세출'!$E$90</f>
        <v>21830000</v>
      </c>
      <c r="E87" s="249">
        <f>E88+E91</f>
        <v>26008000</v>
      </c>
      <c r="F87" s="249">
        <f t="shared" si="14"/>
        <v>4178000</v>
      </c>
      <c r="G87" s="98">
        <f t="shared" si="13"/>
        <v>119.13879981676591</v>
      </c>
      <c r="H87" s="230" t="s">
        <v>49</v>
      </c>
      <c r="I87" s="126"/>
    </row>
    <row r="88" spans="1:9" ht="20.100000000000001" customHeight="1" x14ac:dyDescent="0.15">
      <c r="A88" s="62"/>
      <c r="B88" s="64"/>
      <c r="C88" s="43" t="s">
        <v>57</v>
      </c>
      <c r="D88" s="70">
        <f>'[1]결산추경예산내역-세출'!$E$91</f>
        <v>21680000</v>
      </c>
      <c r="E88" s="250">
        <f>I89+I90</f>
        <v>25808000</v>
      </c>
      <c r="F88" s="250">
        <f>E88-D88</f>
        <v>4128000</v>
      </c>
      <c r="G88" s="101">
        <f t="shared" si="13"/>
        <v>119.04059040590407</v>
      </c>
      <c r="H88" s="225" t="s">
        <v>57</v>
      </c>
      <c r="I88" s="132"/>
    </row>
    <row r="89" spans="1:9" ht="20.100000000000001" customHeight="1" x14ac:dyDescent="0.15">
      <c r="A89" s="62"/>
      <c r="B89" s="64"/>
      <c r="C89" s="64"/>
      <c r="D89" s="197"/>
      <c r="E89" s="253"/>
      <c r="F89" s="253"/>
      <c r="G89" s="103"/>
      <c r="H89" s="225" t="s">
        <v>233</v>
      </c>
      <c r="I89" s="132">
        <f>2400*40*248</f>
        <v>23808000</v>
      </c>
    </row>
    <row r="90" spans="1:9" ht="20.100000000000001" customHeight="1" x14ac:dyDescent="0.15">
      <c r="A90" s="62"/>
      <c r="B90" s="64"/>
      <c r="C90" s="65"/>
      <c r="D90" s="198"/>
      <c r="E90" s="218"/>
      <c r="F90" s="218"/>
      <c r="G90" s="117"/>
      <c r="H90" s="231" t="s">
        <v>166</v>
      </c>
      <c r="I90" s="133">
        <f>2000000*1</f>
        <v>2000000</v>
      </c>
    </row>
    <row r="91" spans="1:9" ht="20.100000000000001" customHeight="1" x14ac:dyDescent="0.15">
      <c r="A91" s="62"/>
      <c r="B91" s="64"/>
      <c r="C91" s="43" t="s">
        <v>58</v>
      </c>
      <c r="D91" s="70">
        <f>'[1]결산추경예산내역-세출'!$E$94</f>
        <v>150000</v>
      </c>
      <c r="E91" s="250">
        <f>I92</f>
        <v>200000</v>
      </c>
      <c r="F91" s="250">
        <f>E91-D91</f>
        <v>50000</v>
      </c>
      <c r="G91" s="101">
        <f t="shared" si="13"/>
        <v>133.33333333333331</v>
      </c>
      <c r="H91" s="228" t="s">
        <v>58</v>
      </c>
      <c r="I91" s="127"/>
    </row>
    <row r="92" spans="1:9" ht="20.100000000000001" customHeight="1" x14ac:dyDescent="0.15">
      <c r="A92" s="62"/>
      <c r="B92" s="72"/>
      <c r="C92" s="65"/>
      <c r="D92" s="198"/>
      <c r="E92" s="218"/>
      <c r="F92" s="218"/>
      <c r="G92" s="98"/>
      <c r="H92" s="231" t="s">
        <v>180</v>
      </c>
      <c r="I92" s="133">
        <f>100000*2</f>
        <v>200000</v>
      </c>
    </row>
    <row r="93" spans="1:9" ht="19.5" customHeight="1" x14ac:dyDescent="0.15">
      <c r="A93" s="63"/>
      <c r="B93" s="69" t="s">
        <v>56</v>
      </c>
      <c r="C93" s="137"/>
      <c r="D93" s="197">
        <f>'[1]결산추경예산내역-세출'!$E$96</f>
        <v>12222000</v>
      </c>
      <c r="E93" s="253">
        <f>E94+E96+E106+E108+E111+E123</f>
        <v>9760000</v>
      </c>
      <c r="F93" s="253">
        <f t="shared" ref="F93" si="15">E93-D93</f>
        <v>-2462000</v>
      </c>
      <c r="G93" s="106">
        <f t="shared" si="13"/>
        <v>79.855997381770578</v>
      </c>
      <c r="H93" s="225" t="s">
        <v>56</v>
      </c>
      <c r="I93" s="133"/>
    </row>
    <row r="94" spans="1:9" ht="19.5" customHeight="1" x14ac:dyDescent="0.15">
      <c r="A94" s="63"/>
      <c r="B94" s="43"/>
      <c r="C94" s="64" t="s">
        <v>106</v>
      </c>
      <c r="D94" s="70">
        <f>'[1]결산추경예산내역-세출'!$E$97</f>
        <v>600000</v>
      </c>
      <c r="E94" s="250">
        <f>I95</f>
        <v>600000</v>
      </c>
      <c r="F94" s="250">
        <f>E94-D94</f>
        <v>0</v>
      </c>
      <c r="G94" s="101">
        <f t="shared" si="13"/>
        <v>100</v>
      </c>
      <c r="H94" s="228" t="s">
        <v>106</v>
      </c>
      <c r="I94" s="132"/>
    </row>
    <row r="95" spans="1:9" ht="19.5" customHeight="1" x14ac:dyDescent="0.15">
      <c r="A95" s="62"/>
      <c r="B95" s="69"/>
      <c r="C95" s="65"/>
      <c r="D95" s="198"/>
      <c r="E95" s="218"/>
      <c r="F95" s="218"/>
      <c r="G95" s="98"/>
      <c r="H95" s="231" t="s">
        <v>138</v>
      </c>
      <c r="I95" s="132">
        <f>300000*2</f>
        <v>600000</v>
      </c>
    </row>
    <row r="96" spans="1:9" ht="20.100000000000001" customHeight="1" x14ac:dyDescent="0.15">
      <c r="A96" s="62"/>
      <c r="B96" s="64"/>
      <c r="C96" s="64" t="s">
        <v>102</v>
      </c>
      <c r="D96" s="197">
        <f>'[1]결산추경예산내역-세출'!$E$99</f>
        <v>1890000</v>
      </c>
      <c r="E96" s="253">
        <f>I97+I98+I99+I100+I101+I102+I103+I104+I105</f>
        <v>3120000</v>
      </c>
      <c r="F96" s="253">
        <f t="shared" ref="F96" si="16">E96-D96</f>
        <v>1230000</v>
      </c>
      <c r="G96" s="101">
        <f t="shared" si="13"/>
        <v>165.07936507936506</v>
      </c>
      <c r="H96" s="236" t="s">
        <v>102</v>
      </c>
      <c r="I96" s="127"/>
    </row>
    <row r="97" spans="1:12" ht="20.100000000000001" customHeight="1" x14ac:dyDescent="0.15">
      <c r="A97" s="62"/>
      <c r="B97" s="64"/>
      <c r="C97" s="64"/>
      <c r="D97" s="197"/>
      <c r="E97" s="253"/>
      <c r="F97" s="251"/>
      <c r="G97" s="95"/>
      <c r="H97" s="225" t="s">
        <v>208</v>
      </c>
      <c r="I97" s="132">
        <f>25000*4</f>
        <v>100000</v>
      </c>
    </row>
    <row r="98" spans="1:12" ht="20.100000000000001" customHeight="1" x14ac:dyDescent="0.15">
      <c r="A98" s="62"/>
      <c r="B98" s="64"/>
      <c r="C98" s="64"/>
      <c r="D98" s="197"/>
      <c r="E98" s="253"/>
      <c r="F98" s="251"/>
      <c r="G98" s="95"/>
      <c r="H98" s="225" t="s">
        <v>209</v>
      </c>
      <c r="I98" s="132">
        <f>75000*12</f>
        <v>900000</v>
      </c>
    </row>
    <row r="99" spans="1:12" ht="20.100000000000001" customHeight="1" x14ac:dyDescent="0.15">
      <c r="A99" s="62"/>
      <c r="B99" s="64"/>
      <c r="C99" s="64"/>
      <c r="D99" s="197"/>
      <c r="E99" s="253"/>
      <c r="F99" s="251"/>
      <c r="G99" s="95"/>
      <c r="H99" s="225" t="s">
        <v>187</v>
      </c>
      <c r="I99" s="132">
        <f>50000*12</f>
        <v>600000</v>
      </c>
    </row>
    <row r="100" spans="1:12" ht="20.100000000000001" customHeight="1" x14ac:dyDescent="0.15">
      <c r="A100" s="62"/>
      <c r="B100" s="64"/>
      <c r="C100" s="64"/>
      <c r="D100" s="197"/>
      <c r="E100" s="253"/>
      <c r="F100" s="251"/>
      <c r="G100" s="95"/>
      <c r="H100" s="225" t="s">
        <v>251</v>
      </c>
      <c r="I100" s="132">
        <f>15000*24</f>
        <v>360000</v>
      </c>
    </row>
    <row r="101" spans="1:12" ht="20.100000000000001" customHeight="1" x14ac:dyDescent="0.15">
      <c r="A101" s="62"/>
      <c r="B101" s="64"/>
      <c r="C101" s="64"/>
      <c r="D101" s="197"/>
      <c r="E101" s="253"/>
      <c r="F101" s="251"/>
      <c r="G101" s="95"/>
      <c r="H101" s="225" t="s">
        <v>181</v>
      </c>
      <c r="I101" s="132">
        <f>50000*2</f>
        <v>100000</v>
      </c>
    </row>
    <row r="102" spans="1:12" ht="20.100000000000001" customHeight="1" x14ac:dyDescent="0.15">
      <c r="A102" s="62"/>
      <c r="B102" s="64"/>
      <c r="C102" s="64"/>
      <c r="D102" s="197"/>
      <c r="E102" s="253"/>
      <c r="F102" s="251"/>
      <c r="G102" s="95"/>
      <c r="H102" s="225" t="s">
        <v>182</v>
      </c>
      <c r="I102" s="132">
        <f>100000*2</f>
        <v>200000</v>
      </c>
    </row>
    <row r="103" spans="1:12" ht="20.100000000000001" customHeight="1" x14ac:dyDescent="0.15">
      <c r="A103" s="63"/>
      <c r="B103" s="64"/>
      <c r="C103" s="64"/>
      <c r="D103" s="197"/>
      <c r="E103" s="253"/>
      <c r="F103" s="251"/>
      <c r="G103" s="95"/>
      <c r="H103" s="225" t="s">
        <v>185</v>
      </c>
      <c r="I103" s="132">
        <f>50000*12</f>
        <v>600000</v>
      </c>
    </row>
    <row r="104" spans="1:12" ht="20.100000000000001" customHeight="1" x14ac:dyDescent="0.15">
      <c r="A104" s="62"/>
      <c r="B104" s="64"/>
      <c r="C104" s="64"/>
      <c r="D104" s="197"/>
      <c r="E104" s="253"/>
      <c r="F104" s="251"/>
      <c r="G104" s="95"/>
      <c r="H104" s="225" t="s">
        <v>183</v>
      </c>
      <c r="I104" s="132">
        <f>20000*3</f>
        <v>60000</v>
      </c>
    </row>
    <row r="105" spans="1:12" s="139" customFormat="1" ht="20.100000000000001" customHeight="1" x14ac:dyDescent="0.15">
      <c r="A105" s="150"/>
      <c r="B105" s="147"/>
      <c r="C105" s="147"/>
      <c r="D105" s="148"/>
      <c r="E105" s="255"/>
      <c r="F105" s="252"/>
      <c r="G105" s="151"/>
      <c r="H105" s="226" t="s">
        <v>184</v>
      </c>
      <c r="I105" s="134">
        <f>50000*4</f>
        <v>200000</v>
      </c>
      <c r="L105" s="143"/>
    </row>
    <row r="106" spans="1:12" ht="20.100000000000001" customHeight="1" x14ac:dyDescent="0.15">
      <c r="A106" s="63"/>
      <c r="B106" s="64"/>
      <c r="C106" s="64" t="s">
        <v>59</v>
      </c>
      <c r="D106" s="197">
        <f>'[1]결산추경예산내역-세출'!$E$107</f>
        <v>200000</v>
      </c>
      <c r="E106" s="253">
        <f>I107</f>
        <v>200000</v>
      </c>
      <c r="F106" s="253">
        <f>E106-D106</f>
        <v>0</v>
      </c>
      <c r="G106" s="103">
        <f t="shared" ref="G106" si="17">E106/D106*100</f>
        <v>100</v>
      </c>
      <c r="H106" s="225" t="s">
        <v>59</v>
      </c>
      <c r="I106" s="132"/>
    </row>
    <row r="107" spans="1:12" ht="20.100000000000001" customHeight="1" x14ac:dyDescent="0.15">
      <c r="A107" s="62"/>
      <c r="B107" s="69"/>
      <c r="C107" s="65"/>
      <c r="D107" s="197"/>
      <c r="E107" s="253"/>
      <c r="F107" s="254"/>
      <c r="G107" s="95"/>
      <c r="H107" s="225" t="s">
        <v>167</v>
      </c>
      <c r="I107" s="133">
        <f>50000*4</f>
        <v>200000</v>
      </c>
    </row>
    <row r="108" spans="1:12" ht="20.100000000000001" customHeight="1" x14ac:dyDescent="0.15">
      <c r="A108" s="62"/>
      <c r="B108" s="64"/>
      <c r="C108" s="43" t="s">
        <v>103</v>
      </c>
      <c r="D108" s="70">
        <f>'[1]결산추경예산내역-세출'!$E$109</f>
        <v>310000</v>
      </c>
      <c r="E108" s="250">
        <f>I109+I110</f>
        <v>920000</v>
      </c>
      <c r="F108" s="250">
        <f>E108-D108</f>
        <v>610000</v>
      </c>
      <c r="G108" s="101">
        <f t="shared" ref="G108" si="18">E108/D108*100</f>
        <v>296.77419354838707</v>
      </c>
      <c r="H108" s="228" t="s">
        <v>103</v>
      </c>
      <c r="I108" s="132"/>
    </row>
    <row r="109" spans="1:12" ht="20.100000000000001" customHeight="1" x14ac:dyDescent="0.15">
      <c r="A109" s="62"/>
      <c r="B109" s="64"/>
      <c r="C109" s="64"/>
      <c r="D109" s="197"/>
      <c r="E109" s="253"/>
      <c r="F109" s="251"/>
      <c r="G109" s="103"/>
      <c r="H109" s="225" t="s">
        <v>186</v>
      </c>
      <c r="I109" s="132">
        <f>50000*4</f>
        <v>200000</v>
      </c>
    </row>
    <row r="110" spans="1:12" ht="20.100000000000001" customHeight="1" x14ac:dyDescent="0.15">
      <c r="A110" s="62"/>
      <c r="B110" s="64"/>
      <c r="C110" s="65"/>
      <c r="D110" s="197"/>
      <c r="E110" s="218"/>
      <c r="F110" s="254"/>
      <c r="G110" s="117"/>
      <c r="H110" s="225" t="s">
        <v>210</v>
      </c>
      <c r="I110" s="133">
        <f>60000*12</f>
        <v>720000</v>
      </c>
    </row>
    <row r="111" spans="1:12" ht="20.100000000000001" customHeight="1" x14ac:dyDescent="0.15">
      <c r="A111" s="62"/>
      <c r="B111" s="64"/>
      <c r="C111" s="64" t="s">
        <v>104</v>
      </c>
      <c r="D111" s="70">
        <f>'[1]결산추경예산내역-세출'!$E$114</f>
        <v>1960000</v>
      </c>
      <c r="E111" s="253">
        <f>I112+I113+I116+I117+I118+I119+I121+I122+I120+I114+I115</f>
        <v>4320000</v>
      </c>
      <c r="F111" s="253">
        <f>E111-D111</f>
        <v>2360000</v>
      </c>
      <c r="G111" s="103">
        <f t="shared" ref="G111" si="19">E111/D111*100</f>
        <v>220.40816326530609</v>
      </c>
      <c r="H111" s="224" t="s">
        <v>104</v>
      </c>
      <c r="I111" s="132"/>
    </row>
    <row r="112" spans="1:12" ht="20.100000000000001" customHeight="1" x14ac:dyDescent="0.15">
      <c r="A112" s="63"/>
      <c r="B112" s="64"/>
      <c r="C112" s="64"/>
      <c r="D112" s="197"/>
      <c r="E112" s="253"/>
      <c r="F112" s="253"/>
      <c r="G112" s="103"/>
      <c r="H112" s="237" t="s">
        <v>188</v>
      </c>
      <c r="I112" s="132">
        <f>40000*12</f>
        <v>480000</v>
      </c>
    </row>
    <row r="113" spans="1:10" ht="20.100000000000001" customHeight="1" x14ac:dyDescent="0.15">
      <c r="A113" s="62"/>
      <c r="B113" s="64"/>
      <c r="C113" s="64"/>
      <c r="D113" s="197"/>
      <c r="E113" s="253"/>
      <c r="F113" s="253"/>
      <c r="G113" s="103"/>
      <c r="H113" s="237" t="s">
        <v>211</v>
      </c>
      <c r="I113" s="132">
        <f>300000*1</f>
        <v>300000</v>
      </c>
    </row>
    <row r="114" spans="1:10" ht="20.100000000000001" customHeight="1" x14ac:dyDescent="0.15">
      <c r="A114" s="62"/>
      <c r="B114" s="64"/>
      <c r="C114" s="64"/>
      <c r="D114" s="197"/>
      <c r="E114" s="253"/>
      <c r="F114" s="253"/>
      <c r="G114" s="103"/>
      <c r="H114" s="237" t="s">
        <v>231</v>
      </c>
      <c r="I114" s="132">
        <f>400000*2</f>
        <v>800000</v>
      </c>
    </row>
    <row r="115" spans="1:10" ht="20.100000000000001" customHeight="1" x14ac:dyDescent="0.15">
      <c r="A115" s="62"/>
      <c r="B115" s="64"/>
      <c r="C115" s="64"/>
      <c r="D115" s="197"/>
      <c r="E115" s="253"/>
      <c r="F115" s="253"/>
      <c r="G115" s="103"/>
      <c r="H115" s="237" t="s">
        <v>232</v>
      </c>
      <c r="I115" s="132">
        <f>150000*4</f>
        <v>600000</v>
      </c>
    </row>
    <row r="116" spans="1:10" ht="20.100000000000001" customHeight="1" x14ac:dyDescent="0.15">
      <c r="A116" s="62"/>
      <c r="B116" s="64"/>
      <c r="C116" s="64"/>
      <c r="D116" s="197"/>
      <c r="E116" s="253"/>
      <c r="F116" s="253"/>
      <c r="G116" s="103"/>
      <c r="H116" s="237" t="s">
        <v>212</v>
      </c>
      <c r="I116" s="132">
        <f>7000*40*2</f>
        <v>560000</v>
      </c>
      <c r="J116" s="75"/>
    </row>
    <row r="117" spans="1:10" ht="20.100000000000001" customHeight="1" x14ac:dyDescent="0.15">
      <c r="A117" s="62"/>
      <c r="B117" s="64"/>
      <c r="C117" s="64"/>
      <c r="D117" s="197"/>
      <c r="E117" s="253"/>
      <c r="F117" s="253"/>
      <c r="G117" s="103"/>
      <c r="H117" s="237" t="s">
        <v>213</v>
      </c>
      <c r="I117" s="132">
        <f>100000*1</f>
        <v>100000</v>
      </c>
    </row>
    <row r="118" spans="1:10" ht="20.100000000000001" customHeight="1" x14ac:dyDescent="0.15">
      <c r="A118" s="62"/>
      <c r="B118" s="64"/>
      <c r="C118" s="64"/>
      <c r="D118" s="197"/>
      <c r="E118" s="253"/>
      <c r="F118" s="253"/>
      <c r="G118" s="103"/>
      <c r="H118" s="237" t="s">
        <v>216</v>
      </c>
      <c r="I118" s="132">
        <f>7000*40*1</f>
        <v>280000</v>
      </c>
    </row>
    <row r="119" spans="1:10" ht="20.100000000000001" customHeight="1" x14ac:dyDescent="0.15">
      <c r="A119" s="62"/>
      <c r="B119" s="64"/>
      <c r="C119" s="64"/>
      <c r="D119" s="197"/>
      <c r="E119" s="253"/>
      <c r="F119" s="253"/>
      <c r="G119" s="103"/>
      <c r="H119" s="237" t="s">
        <v>214</v>
      </c>
      <c r="I119" s="132">
        <f>200000*1</f>
        <v>200000</v>
      </c>
    </row>
    <row r="120" spans="1:10" ht="20.100000000000001" customHeight="1" x14ac:dyDescent="0.15">
      <c r="A120" s="62"/>
      <c r="B120" s="64"/>
      <c r="C120" s="64"/>
      <c r="D120" s="197"/>
      <c r="E120" s="253"/>
      <c r="F120" s="253"/>
      <c r="G120" s="103"/>
      <c r="H120" s="237" t="s">
        <v>215</v>
      </c>
      <c r="I120" s="132">
        <f>100000*1</f>
        <v>100000</v>
      </c>
    </row>
    <row r="121" spans="1:10" ht="20.100000000000001" customHeight="1" x14ac:dyDescent="0.15">
      <c r="A121" s="62"/>
      <c r="B121" s="64"/>
      <c r="C121" s="64"/>
      <c r="D121" s="197"/>
      <c r="E121" s="253"/>
      <c r="F121" s="251"/>
      <c r="G121" s="95"/>
      <c r="H121" s="237" t="s">
        <v>136</v>
      </c>
      <c r="I121" s="132">
        <f>600000*1</f>
        <v>600000</v>
      </c>
    </row>
    <row r="122" spans="1:10" ht="20.100000000000001" customHeight="1" x14ac:dyDescent="0.15">
      <c r="A122" s="62"/>
      <c r="B122" s="64"/>
      <c r="C122" s="64"/>
      <c r="D122" s="197"/>
      <c r="E122" s="253"/>
      <c r="F122" s="251"/>
      <c r="G122" s="95"/>
      <c r="H122" s="237" t="s">
        <v>137</v>
      </c>
      <c r="I122" s="133">
        <f>150000*2</f>
        <v>300000</v>
      </c>
    </row>
    <row r="123" spans="1:10" ht="20.100000000000001" customHeight="1" x14ac:dyDescent="0.15">
      <c r="A123" s="62"/>
      <c r="B123" s="64"/>
      <c r="C123" s="43" t="s">
        <v>105</v>
      </c>
      <c r="D123" s="70">
        <f>'[1]결산추경예산내역-세출'!$E$119</f>
        <v>600000</v>
      </c>
      <c r="E123" s="250">
        <f>I124</f>
        <v>600000</v>
      </c>
      <c r="F123" s="250">
        <f>E123-D123</f>
        <v>0</v>
      </c>
      <c r="G123" s="101">
        <f t="shared" ref="G123" si="20">E123/D123*100</f>
        <v>100</v>
      </c>
      <c r="H123" s="224" t="s">
        <v>60</v>
      </c>
      <c r="I123" s="132"/>
    </row>
    <row r="124" spans="1:10" ht="20.100000000000001" customHeight="1" x14ac:dyDescent="0.15">
      <c r="A124" s="62"/>
      <c r="B124" s="64"/>
      <c r="C124" s="64"/>
      <c r="D124" s="197"/>
      <c r="E124" s="253"/>
      <c r="F124" s="251"/>
      <c r="G124" s="95"/>
      <c r="H124" s="237" t="s">
        <v>111</v>
      </c>
      <c r="I124" s="132">
        <f>150000*4</f>
        <v>600000</v>
      </c>
    </row>
    <row r="125" spans="1:10" ht="19.5" customHeight="1" x14ac:dyDescent="0.15">
      <c r="A125" s="62"/>
      <c r="B125" s="112" t="s">
        <v>61</v>
      </c>
      <c r="C125" s="113"/>
      <c r="D125" s="107">
        <f>'[1]결산추경예산내역-세출'!$E$121</f>
        <v>11673000</v>
      </c>
      <c r="E125" s="256">
        <f>E126+E128+E134+E137</f>
        <v>6823000</v>
      </c>
      <c r="F125" s="256">
        <f>F126+F128+F134+F137</f>
        <v>-4850000</v>
      </c>
      <c r="G125" s="99">
        <f t="shared" ref="G125" si="21">E125/D125*100</f>
        <v>58.451126531311573</v>
      </c>
      <c r="H125" s="230" t="s">
        <v>61</v>
      </c>
      <c r="I125" s="126"/>
    </row>
    <row r="126" spans="1:10" ht="20.100000000000001" customHeight="1" x14ac:dyDescent="0.15">
      <c r="A126" s="62"/>
      <c r="B126" s="64"/>
      <c r="C126" s="43" t="s">
        <v>62</v>
      </c>
      <c r="D126" s="70">
        <f>'[1]결산추경예산내역-세출'!$E$122</f>
        <v>8850000</v>
      </c>
      <c r="E126" s="250">
        <f>I127</f>
        <v>4000000</v>
      </c>
      <c r="F126" s="250">
        <f t="shared" ref="F126" si="22">E126-D126</f>
        <v>-4850000</v>
      </c>
      <c r="G126" s="101">
        <f t="shared" ref="G126:G128" si="23">E126/D126*100</f>
        <v>45.197740112994353</v>
      </c>
      <c r="H126" s="228" t="s">
        <v>64</v>
      </c>
      <c r="I126" s="132"/>
    </row>
    <row r="127" spans="1:10" ht="20.100000000000001" customHeight="1" x14ac:dyDescent="0.15">
      <c r="A127" s="62"/>
      <c r="B127" s="64"/>
      <c r="C127" s="64"/>
      <c r="D127" s="197"/>
      <c r="E127" s="253"/>
      <c r="F127" s="251"/>
      <c r="G127" s="95"/>
      <c r="H127" s="231" t="s">
        <v>189</v>
      </c>
      <c r="I127" s="133">
        <f>1000000*4</f>
        <v>4000000</v>
      </c>
    </row>
    <row r="128" spans="1:10" ht="20.100000000000001" customHeight="1" x14ac:dyDescent="0.15">
      <c r="A128" s="62"/>
      <c r="B128" s="64"/>
      <c r="C128" s="43" t="s">
        <v>63</v>
      </c>
      <c r="D128" s="70">
        <f>'[1]결산추경예산내역-세출'!$E$124</f>
        <v>1823000</v>
      </c>
      <c r="E128" s="250">
        <f>I129+I130+I131+I133+I132</f>
        <v>1823000</v>
      </c>
      <c r="F128" s="250">
        <f>E128-D128</f>
        <v>0</v>
      </c>
      <c r="G128" s="101">
        <f t="shared" si="23"/>
        <v>100</v>
      </c>
      <c r="H128" s="225" t="s">
        <v>65</v>
      </c>
      <c r="I128" s="132"/>
    </row>
    <row r="129" spans="1:12" ht="20.100000000000001" customHeight="1" x14ac:dyDescent="0.15">
      <c r="A129" s="62"/>
      <c r="B129" s="64"/>
      <c r="C129" s="64"/>
      <c r="D129" s="197"/>
      <c r="E129" s="253"/>
      <c r="F129" s="251"/>
      <c r="G129" s="95"/>
      <c r="H129" s="225" t="s">
        <v>163</v>
      </c>
      <c r="I129" s="132">
        <f>500000*2</f>
        <v>1000000</v>
      </c>
    </row>
    <row r="130" spans="1:12" ht="20.100000000000001" customHeight="1" x14ac:dyDescent="0.15">
      <c r="A130" s="62"/>
      <c r="B130" s="64"/>
      <c r="C130" s="64"/>
      <c r="D130" s="197"/>
      <c r="E130" s="253"/>
      <c r="F130" s="251"/>
      <c r="G130" s="95"/>
      <c r="H130" s="225" t="s">
        <v>149</v>
      </c>
      <c r="I130" s="132">
        <f>28000*6</f>
        <v>168000</v>
      </c>
    </row>
    <row r="131" spans="1:12" ht="20.100000000000001" customHeight="1" x14ac:dyDescent="0.15">
      <c r="A131" s="62"/>
      <c r="B131" s="64"/>
      <c r="C131" s="64"/>
      <c r="D131" s="197"/>
      <c r="E131" s="253"/>
      <c r="F131" s="251"/>
      <c r="G131" s="95"/>
      <c r="H131" s="225" t="s">
        <v>143</v>
      </c>
      <c r="I131" s="132">
        <f>35000*1</f>
        <v>35000</v>
      </c>
    </row>
    <row r="132" spans="1:12" ht="20.100000000000001" customHeight="1" x14ac:dyDescent="0.15">
      <c r="A132" s="62"/>
      <c r="B132" s="64"/>
      <c r="C132" s="217"/>
      <c r="D132" s="197"/>
      <c r="E132" s="253"/>
      <c r="F132" s="251"/>
      <c r="G132" s="95"/>
      <c r="H132" s="225" t="s">
        <v>236</v>
      </c>
      <c r="I132" s="132">
        <f>500000*1</f>
        <v>500000</v>
      </c>
    </row>
    <row r="133" spans="1:12" ht="20.100000000000001" customHeight="1" x14ac:dyDescent="0.15">
      <c r="A133" s="150"/>
      <c r="B133" s="147"/>
      <c r="C133" s="191"/>
      <c r="D133" s="148"/>
      <c r="E133" s="255"/>
      <c r="F133" s="252"/>
      <c r="G133" s="151"/>
      <c r="H133" s="226" t="s">
        <v>235</v>
      </c>
      <c r="I133" s="134">
        <f>30000*4</f>
        <v>120000</v>
      </c>
    </row>
    <row r="134" spans="1:12" ht="20.100000000000001" customHeight="1" x14ac:dyDescent="0.15">
      <c r="A134" s="62"/>
      <c r="B134" s="64"/>
      <c r="C134" s="190" t="s">
        <v>72</v>
      </c>
      <c r="D134" s="197">
        <f>'[1]결산추경예산내역-세출'!$E$130</f>
        <v>800000</v>
      </c>
      <c r="E134" s="253">
        <f>I135+I136</f>
        <v>800000</v>
      </c>
      <c r="F134" s="253">
        <f>E134-D134</f>
        <v>0</v>
      </c>
      <c r="G134" s="103">
        <f t="shared" ref="G134" si="24">E134/D134*100</f>
        <v>100</v>
      </c>
      <c r="H134" s="225" t="s">
        <v>66</v>
      </c>
      <c r="I134" s="132"/>
    </row>
    <row r="135" spans="1:12" ht="20.100000000000001" customHeight="1" x14ac:dyDescent="0.15">
      <c r="A135" s="62"/>
      <c r="B135" s="64"/>
      <c r="C135" s="64"/>
      <c r="D135" s="197"/>
      <c r="E135" s="253"/>
      <c r="F135" s="251"/>
      <c r="G135" s="95"/>
      <c r="H135" s="225" t="s">
        <v>133</v>
      </c>
      <c r="I135" s="132">
        <f>200000*2</f>
        <v>400000</v>
      </c>
    </row>
    <row r="136" spans="1:12" s="139" customFormat="1" ht="20.100000000000001" customHeight="1" x14ac:dyDescent="0.15">
      <c r="A136" s="62"/>
      <c r="B136" s="65"/>
      <c r="C136" s="65"/>
      <c r="D136" s="198"/>
      <c r="E136" s="218"/>
      <c r="F136" s="254"/>
      <c r="G136" s="96"/>
      <c r="H136" s="231" t="s">
        <v>134</v>
      </c>
      <c r="I136" s="133">
        <f>200000*2</f>
        <v>400000</v>
      </c>
      <c r="L136" s="143"/>
    </row>
    <row r="137" spans="1:12" ht="20.100000000000001" customHeight="1" x14ac:dyDescent="0.15">
      <c r="A137" s="63"/>
      <c r="B137" s="64"/>
      <c r="C137" s="64" t="s">
        <v>67</v>
      </c>
      <c r="D137" s="197">
        <f>'[1]결산추경예산내역-세출'!$E$133</f>
        <v>200000</v>
      </c>
      <c r="E137" s="253">
        <f>I138</f>
        <v>200000</v>
      </c>
      <c r="F137" s="253">
        <f>E137-D137</f>
        <v>0</v>
      </c>
      <c r="G137" s="103">
        <f t="shared" ref="G137:G139" si="25">E137/D137*100</f>
        <v>100</v>
      </c>
      <c r="H137" s="225" t="s">
        <v>67</v>
      </c>
      <c r="I137" s="132"/>
    </row>
    <row r="138" spans="1:12" ht="20.100000000000001" customHeight="1" x14ac:dyDescent="0.15">
      <c r="A138" s="136"/>
      <c r="B138" s="65"/>
      <c r="C138" s="65"/>
      <c r="D138" s="198"/>
      <c r="E138" s="218"/>
      <c r="F138" s="253">
        <f t="shared" ref="F138:F139" si="26">E138-D138</f>
        <v>0</v>
      </c>
      <c r="G138" s="117"/>
      <c r="H138" s="231" t="s">
        <v>135</v>
      </c>
      <c r="I138" s="133">
        <f>100000*2</f>
        <v>200000</v>
      </c>
    </row>
    <row r="139" spans="1:12" ht="20.100000000000001" customHeight="1" x14ac:dyDescent="0.15">
      <c r="A139" s="114" t="s">
        <v>68</v>
      </c>
      <c r="B139" s="115"/>
      <c r="C139" s="115"/>
      <c r="D139" s="51">
        <f>D140</f>
        <v>175510</v>
      </c>
      <c r="E139" s="248">
        <f>E140</f>
        <v>178802</v>
      </c>
      <c r="F139" s="249">
        <f t="shared" si="26"/>
        <v>3292</v>
      </c>
      <c r="G139" s="103">
        <f t="shared" si="25"/>
        <v>101.87567659962396</v>
      </c>
      <c r="H139" s="230" t="s">
        <v>68</v>
      </c>
      <c r="I139" s="126"/>
    </row>
    <row r="140" spans="1:12" ht="20.100000000000001" customHeight="1" x14ac:dyDescent="0.15">
      <c r="A140" s="180"/>
      <c r="B140" s="42" t="s">
        <v>68</v>
      </c>
      <c r="C140" s="113"/>
      <c r="D140" s="50">
        <f>'[1]결산추경예산내역-세출'!$E$136</f>
        <v>175510</v>
      </c>
      <c r="E140" s="249">
        <f>E141+E143</f>
        <v>178802</v>
      </c>
      <c r="F140" s="250">
        <f t="shared" si="0"/>
        <v>3292</v>
      </c>
      <c r="G140" s="99">
        <f t="shared" ref="G140:G143" si="27">E140/D140*100</f>
        <v>101.87567659962396</v>
      </c>
      <c r="H140" s="230" t="s">
        <v>68</v>
      </c>
      <c r="I140" s="126"/>
    </row>
    <row r="141" spans="1:12" ht="20.100000000000001" customHeight="1" x14ac:dyDescent="0.15">
      <c r="A141" s="63"/>
      <c r="B141" s="64"/>
      <c r="C141" s="64" t="s">
        <v>69</v>
      </c>
      <c r="D141" s="197">
        <f>'[1]결산추경예산내역-세출'!$E$137</f>
        <v>155510</v>
      </c>
      <c r="E141" s="253">
        <f>I142</f>
        <v>158802</v>
      </c>
      <c r="F141" s="250">
        <f t="shared" si="0"/>
        <v>3292</v>
      </c>
      <c r="G141" s="106">
        <f t="shared" si="27"/>
        <v>102.11690566523053</v>
      </c>
      <c r="H141" s="235" t="s">
        <v>69</v>
      </c>
      <c r="I141" s="132"/>
    </row>
    <row r="142" spans="1:12" ht="20.100000000000001" customHeight="1" x14ac:dyDescent="0.15">
      <c r="A142" s="62"/>
      <c r="B142" s="69"/>
      <c r="C142" s="65"/>
      <c r="D142" s="198"/>
      <c r="E142" s="218"/>
      <c r="F142" s="218"/>
      <c r="G142" s="98"/>
      <c r="H142" s="238" t="s">
        <v>253</v>
      </c>
      <c r="I142" s="133">
        <f>158802*1</f>
        <v>158802</v>
      </c>
      <c r="K142" s="75"/>
    </row>
    <row r="143" spans="1:12" ht="20.100000000000001" customHeight="1" x14ac:dyDescent="0.15">
      <c r="A143" s="62"/>
      <c r="B143" s="69"/>
      <c r="C143" s="43" t="s">
        <v>123</v>
      </c>
      <c r="D143" s="70">
        <f>'[1]결산추경예산내역-세출'!$E$139</f>
        <v>20000</v>
      </c>
      <c r="E143" s="250">
        <f>I144</f>
        <v>20000</v>
      </c>
      <c r="F143" s="250">
        <f t="shared" si="0"/>
        <v>0</v>
      </c>
      <c r="G143" s="101">
        <f t="shared" si="27"/>
        <v>100</v>
      </c>
      <c r="H143" s="233" t="s">
        <v>123</v>
      </c>
      <c r="I143" s="132"/>
    </row>
    <row r="144" spans="1:12" s="139" customFormat="1" ht="20.100000000000001" customHeight="1" x14ac:dyDescent="0.15">
      <c r="A144" s="146"/>
      <c r="B144" s="147"/>
      <c r="C144" s="147"/>
      <c r="D144" s="148"/>
      <c r="E144" s="255"/>
      <c r="F144" s="255"/>
      <c r="G144" s="149"/>
      <c r="H144" s="226" t="s">
        <v>220</v>
      </c>
      <c r="I144" s="134">
        <v>20000</v>
      </c>
      <c r="L144" s="143"/>
    </row>
    <row r="145" spans="4:4" x14ac:dyDescent="0.15">
      <c r="D145" s="203"/>
    </row>
    <row r="146" spans="4:4" x14ac:dyDescent="0.15">
      <c r="D146" s="203"/>
    </row>
    <row r="147" spans="4:4" x14ac:dyDescent="0.15">
      <c r="D147" s="203"/>
    </row>
    <row r="148" spans="4:4" x14ac:dyDescent="0.15">
      <c r="D148" s="203"/>
    </row>
    <row r="149" spans="4:4" x14ac:dyDescent="0.15">
      <c r="D149" s="203"/>
    </row>
    <row r="150" spans="4:4" x14ac:dyDescent="0.15">
      <c r="D150" s="203"/>
    </row>
    <row r="151" spans="4:4" x14ac:dyDescent="0.15">
      <c r="D151" s="203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9">
    <mergeCell ref="F4:G4"/>
    <mergeCell ref="H4:I5"/>
    <mergeCell ref="A6:C6"/>
    <mergeCell ref="H3:I3"/>
    <mergeCell ref="A78:A79"/>
    <mergeCell ref="A3:C3"/>
    <mergeCell ref="A4:C4"/>
    <mergeCell ref="D4:D5"/>
    <mergeCell ref="E4:E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8" firstPageNumber="3" fitToHeight="9" orientation="landscape" useFirstPageNumber="1" r:id="rId2"/>
  <headerFooter alignWithMargins="0">
    <oddFooter xml:space="preserve">&amp;R참좋은기억학교(2022.11.25.)
</oddFooter>
  </headerFooter>
  <rowBreaks count="5" manualBreakCount="5">
    <brk id="25" max="8" man="1"/>
    <brk id="51" max="8" man="1"/>
    <brk id="76" max="8" man="1"/>
    <brk id="105" max="8" man="1"/>
    <brk id="1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11.77734375" style="78" customWidth="1"/>
    <col min="2" max="2" width="13.44140625" style="78" customWidth="1"/>
    <col min="3" max="3" width="15.6640625" style="79" customWidth="1"/>
    <col min="4" max="4" width="12.88671875" style="123" customWidth="1"/>
    <col min="5" max="5" width="12.77734375" style="123" customWidth="1"/>
    <col min="6" max="6" width="12.88671875" style="123" customWidth="1"/>
    <col min="7" max="8" width="10.44140625" style="78" bestFit="1" customWidth="1"/>
    <col min="9" max="16384" width="8.88671875" style="78"/>
  </cols>
  <sheetData>
    <row r="1" spans="1:8" ht="46.5" customHeight="1" x14ac:dyDescent="0.15">
      <c r="A1" s="298" t="s">
        <v>173</v>
      </c>
      <c r="B1" s="299"/>
      <c r="C1" s="299"/>
      <c r="D1" s="299"/>
      <c r="E1" s="299"/>
      <c r="F1" s="300"/>
    </row>
    <row r="2" spans="1:8" ht="23.1" customHeight="1" x14ac:dyDescent="0.15">
      <c r="A2" s="308" t="s">
        <v>124</v>
      </c>
      <c r="B2" s="309"/>
      <c r="C2" s="140"/>
      <c r="D2" s="141"/>
      <c r="E2" s="141"/>
      <c r="F2" s="156"/>
    </row>
    <row r="3" spans="1:8" ht="23.1" customHeight="1" x14ac:dyDescent="0.15">
      <c r="A3" s="310" t="s">
        <v>125</v>
      </c>
      <c r="B3" s="311"/>
      <c r="C3" s="120"/>
      <c r="D3" s="121"/>
      <c r="E3" s="122"/>
      <c r="F3" s="157" t="s">
        <v>126</v>
      </c>
    </row>
    <row r="4" spans="1:8" ht="23.1" customHeight="1" thickBot="1" x14ac:dyDescent="0.2">
      <c r="A4" s="158" t="s">
        <v>2</v>
      </c>
      <c r="B4" s="130" t="s">
        <v>3</v>
      </c>
      <c r="C4" s="130" t="s">
        <v>17</v>
      </c>
      <c r="D4" s="131" t="s">
        <v>225</v>
      </c>
      <c r="E4" s="131" t="s">
        <v>226</v>
      </c>
      <c r="F4" s="159" t="s">
        <v>95</v>
      </c>
    </row>
    <row r="5" spans="1:8" ht="20.100000000000001" customHeight="1" thickTop="1" x14ac:dyDescent="0.15">
      <c r="A5" s="304" t="s">
        <v>93</v>
      </c>
      <c r="B5" s="305"/>
      <c r="C5" s="306"/>
      <c r="D5" s="129">
        <f>'최초예산내역-세입'!D6</f>
        <v>418296000</v>
      </c>
      <c r="E5" s="129">
        <f>'최초예산내역-세입'!E6</f>
        <v>437335000</v>
      </c>
      <c r="F5" s="160">
        <f t="shared" ref="F5:F6" si="0">E5-D5</f>
        <v>19039000</v>
      </c>
      <c r="G5" s="123"/>
    </row>
    <row r="6" spans="1:8" ht="20.100000000000001" customHeight="1" x14ac:dyDescent="0.15">
      <c r="A6" s="161" t="str">
        <f>[2]세입!B7</f>
        <v>입소자부담금수입</v>
      </c>
      <c r="B6" s="81" t="str">
        <f>[2]세입!C8</f>
        <v>입소비용수입</v>
      </c>
      <c r="C6" s="81" t="str">
        <f>[2]세입!D9</f>
        <v>입소비용수입</v>
      </c>
      <c r="D6" s="177">
        <f>'최초예산내역-세입'!D8</f>
        <v>41000000</v>
      </c>
      <c r="E6" s="177">
        <f>'최초예산내역-세입'!E8</f>
        <v>47120000</v>
      </c>
      <c r="F6" s="162">
        <f t="shared" si="0"/>
        <v>6120000</v>
      </c>
      <c r="G6" s="123"/>
      <c r="H6" s="123"/>
    </row>
    <row r="7" spans="1:8" ht="20.100000000000001" customHeight="1" x14ac:dyDescent="0.15">
      <c r="A7" s="163"/>
      <c r="B7" s="118"/>
      <c r="C7" s="118"/>
      <c r="D7" s="301" t="s">
        <v>153</v>
      </c>
      <c r="E7" s="302"/>
      <c r="F7" s="303"/>
      <c r="G7" s="123"/>
    </row>
    <row r="8" spans="1:8" ht="20.100000000000001" customHeight="1" x14ac:dyDescent="0.15">
      <c r="A8" s="161" t="s">
        <v>114</v>
      </c>
      <c r="B8" s="81" t="s">
        <v>114</v>
      </c>
      <c r="C8" s="81" t="s">
        <v>120</v>
      </c>
      <c r="D8" s="80">
        <f>'최초예산내역-세입'!D11</f>
        <v>361813000</v>
      </c>
      <c r="E8" s="80">
        <f>'최초예산내역-세입'!E11</f>
        <v>368616944</v>
      </c>
      <c r="F8" s="162">
        <f t="shared" ref="F8" si="1">E8-D8</f>
        <v>6803944</v>
      </c>
      <c r="G8" s="123"/>
      <c r="H8" s="123"/>
    </row>
    <row r="9" spans="1:8" ht="20.100000000000001" customHeight="1" x14ac:dyDescent="0.15">
      <c r="A9" s="163"/>
      <c r="B9" s="118"/>
      <c r="C9" s="118"/>
      <c r="D9" s="301" t="s">
        <v>254</v>
      </c>
      <c r="E9" s="307"/>
      <c r="F9" s="303"/>
    </row>
    <row r="10" spans="1:8" ht="20.100000000000001" customHeight="1" x14ac:dyDescent="0.15">
      <c r="A10" s="161" t="s">
        <v>33</v>
      </c>
      <c r="B10" s="81" t="s">
        <v>33</v>
      </c>
      <c r="C10" s="81" t="s">
        <v>35</v>
      </c>
      <c r="D10" s="80">
        <f>'최초예산내역-세입'!D21</f>
        <v>300000</v>
      </c>
      <c r="E10" s="80">
        <f>'최초예산내역-세입'!E21</f>
        <v>900000</v>
      </c>
      <c r="F10" s="162">
        <f t="shared" ref="F10" si="2">E10-D10</f>
        <v>600000</v>
      </c>
      <c r="G10" s="123"/>
      <c r="H10" s="123"/>
    </row>
    <row r="11" spans="1:8" ht="20.100000000000001" customHeight="1" x14ac:dyDescent="0.15">
      <c r="A11" s="163"/>
      <c r="B11" s="118"/>
      <c r="C11" s="118"/>
      <c r="D11" s="301" t="s">
        <v>257</v>
      </c>
      <c r="E11" s="307"/>
      <c r="F11" s="303"/>
    </row>
    <row r="12" spans="1:8" ht="20.100000000000001" customHeight="1" x14ac:dyDescent="0.15">
      <c r="A12" s="164" t="s">
        <v>151</v>
      </c>
      <c r="B12" s="82" t="s">
        <v>152</v>
      </c>
      <c r="C12" s="82" t="s">
        <v>155</v>
      </c>
      <c r="D12" s="186">
        <f>'최초예산내역-세입'!D25</f>
        <v>3400000</v>
      </c>
      <c r="E12" s="186">
        <f>'최초예산내역-세입'!E25</f>
        <v>3200000</v>
      </c>
      <c r="F12" s="170">
        <f>E12-D12</f>
        <v>-200000</v>
      </c>
    </row>
    <row r="13" spans="1:8" ht="20.100000000000001" customHeight="1" x14ac:dyDescent="0.15">
      <c r="A13" s="164"/>
      <c r="B13" s="82"/>
      <c r="C13" s="82"/>
      <c r="D13" s="301" t="s">
        <v>269</v>
      </c>
      <c r="E13" s="302"/>
      <c r="F13" s="303"/>
    </row>
    <row r="14" spans="1:8" ht="20.100000000000001" customHeight="1" x14ac:dyDescent="0.15">
      <c r="A14" s="161" t="s">
        <v>24</v>
      </c>
      <c r="B14" s="81" t="s">
        <v>36</v>
      </c>
      <c r="C14" s="81" t="s">
        <v>36</v>
      </c>
      <c r="D14" s="153">
        <f>'최초예산내역-세입'!D31</f>
        <v>3775815</v>
      </c>
      <c r="E14" s="153">
        <f>'최초예산내역-세입'!E31</f>
        <v>5467956</v>
      </c>
      <c r="F14" s="165">
        <f t="shared" ref="F14" si="3">E14-D14</f>
        <v>1692141</v>
      </c>
    </row>
    <row r="15" spans="1:8" ht="20.100000000000001" customHeight="1" x14ac:dyDescent="0.15">
      <c r="A15" s="163"/>
      <c r="B15" s="82"/>
      <c r="C15" s="82"/>
      <c r="D15" s="301" t="s">
        <v>256</v>
      </c>
      <c r="E15" s="302"/>
      <c r="F15" s="303"/>
    </row>
    <row r="16" spans="1:8" ht="20.100000000000001" customHeight="1" x14ac:dyDescent="0.15">
      <c r="A16" s="185" t="s">
        <v>21</v>
      </c>
      <c r="B16" s="43" t="s">
        <v>22</v>
      </c>
      <c r="C16" s="43" t="s">
        <v>22</v>
      </c>
      <c r="D16" s="153">
        <f>'최초예산내역-세입'!D35</f>
        <v>7977085</v>
      </c>
      <c r="E16" s="153">
        <f>'최초예산내역-세입'!E35</f>
        <v>12000000</v>
      </c>
      <c r="F16" s="170">
        <f t="shared" ref="F16" si="4">E16-D16</f>
        <v>4022915</v>
      </c>
    </row>
    <row r="17" spans="1:8" ht="23.25" customHeight="1" x14ac:dyDescent="0.15">
      <c r="A17" s="166"/>
      <c r="B17" s="119"/>
      <c r="C17" s="119"/>
      <c r="D17" s="312" t="s">
        <v>255</v>
      </c>
      <c r="E17" s="313"/>
      <c r="F17" s="314"/>
    </row>
    <row r="18" spans="1:8" ht="23.1" customHeight="1" x14ac:dyDescent="0.15">
      <c r="A18" s="167"/>
      <c r="B18" s="83"/>
      <c r="D18" s="84"/>
      <c r="E18" s="85"/>
      <c r="F18" s="168"/>
    </row>
    <row r="19" spans="1:8" ht="23.1" customHeight="1" x14ac:dyDescent="0.15">
      <c r="A19" s="310" t="s">
        <v>127</v>
      </c>
      <c r="B19" s="311"/>
      <c r="D19" s="84"/>
      <c r="E19" s="85"/>
      <c r="F19" s="168" t="s">
        <v>126</v>
      </c>
    </row>
    <row r="20" spans="1:8" ht="23.1" customHeight="1" thickBot="1" x14ac:dyDescent="0.2">
      <c r="A20" s="158" t="s">
        <v>2</v>
      </c>
      <c r="B20" s="130" t="s">
        <v>3</v>
      </c>
      <c r="C20" s="130" t="s">
        <v>17</v>
      </c>
      <c r="D20" s="131" t="s">
        <v>156</v>
      </c>
      <c r="E20" s="131" t="s">
        <v>230</v>
      </c>
      <c r="F20" s="159" t="s">
        <v>95</v>
      </c>
    </row>
    <row r="21" spans="1:8" ht="20.100000000000001" customHeight="1" thickTop="1" x14ac:dyDescent="0.15">
      <c r="A21" s="304" t="s">
        <v>94</v>
      </c>
      <c r="B21" s="305"/>
      <c r="C21" s="306"/>
      <c r="D21" s="87">
        <f>'최초예산내역-세출'!D6</f>
        <v>418295999.73722398</v>
      </c>
      <c r="E21" s="87">
        <f>'최초예산내역-세출'!E6</f>
        <v>437334999.91595107</v>
      </c>
      <c r="F21" s="160">
        <f t="shared" ref="F21" si="5">E21-D21</f>
        <v>19039000.17872709</v>
      </c>
      <c r="G21" s="123"/>
      <c r="H21" s="123"/>
    </row>
    <row r="22" spans="1:8" ht="20.100000000000001" customHeight="1" x14ac:dyDescent="0.15">
      <c r="A22" s="169" t="str">
        <f>[2]세출!B8</f>
        <v>사무비</v>
      </c>
      <c r="B22" s="110" t="str">
        <f>[2]세출!C9</f>
        <v>인건비</v>
      </c>
      <c r="C22" s="110" t="str">
        <f>[2]세출!D10</f>
        <v>급여</v>
      </c>
      <c r="D22" s="80">
        <f>'최초예산내역-세출'!D9</f>
        <v>242817600</v>
      </c>
      <c r="E22" s="80">
        <f>'최초예산내역-세출'!E9</f>
        <v>257430200</v>
      </c>
      <c r="F22" s="170">
        <f t="shared" ref="F22:F28" si="6">E22-D22</f>
        <v>14612600</v>
      </c>
      <c r="G22" s="123"/>
      <c r="H22" s="123"/>
    </row>
    <row r="23" spans="1:8" ht="20.100000000000001" customHeight="1" x14ac:dyDescent="0.15">
      <c r="A23" s="171"/>
      <c r="B23" s="111"/>
      <c r="C23" s="111"/>
      <c r="D23" s="301" t="s">
        <v>258</v>
      </c>
      <c r="E23" s="302"/>
      <c r="F23" s="303"/>
      <c r="G23" s="123"/>
      <c r="H23" s="123"/>
    </row>
    <row r="24" spans="1:8" ht="20.100000000000001" customHeight="1" x14ac:dyDescent="0.15">
      <c r="A24" s="171"/>
      <c r="B24" s="111"/>
      <c r="C24" s="110" t="str">
        <f>[2]세출!D27</f>
        <v>제수당</v>
      </c>
      <c r="D24" s="80">
        <f>'최초예산내역-세출'!D26</f>
        <v>32599440</v>
      </c>
      <c r="E24" s="80">
        <f>'최초예산내역-세출'!E26</f>
        <v>34739468</v>
      </c>
      <c r="F24" s="172">
        <f t="shared" si="6"/>
        <v>2140028</v>
      </c>
    </row>
    <row r="25" spans="1:8" ht="20.100000000000001" customHeight="1" x14ac:dyDescent="0.15">
      <c r="A25" s="171"/>
      <c r="B25" s="111"/>
      <c r="C25" s="111"/>
      <c r="D25" s="301" t="s">
        <v>259</v>
      </c>
      <c r="E25" s="302"/>
      <c r="F25" s="303"/>
    </row>
    <row r="26" spans="1:8" ht="20.100000000000001" customHeight="1" x14ac:dyDescent="0.15">
      <c r="A26" s="171"/>
      <c r="B26" s="111"/>
      <c r="C26" s="86" t="str">
        <f>[2]세출!D42</f>
        <v>퇴직금및퇴직적립금</v>
      </c>
      <c r="D26" s="80">
        <f>'최초예산내역-세출'!D35</f>
        <v>22941420</v>
      </c>
      <c r="E26" s="80">
        <f>'최초예산내역-세출'!E35</f>
        <v>24005510</v>
      </c>
      <c r="F26" s="173">
        <f t="shared" si="6"/>
        <v>1064090</v>
      </c>
    </row>
    <row r="27" spans="1:8" ht="20.100000000000001" customHeight="1" x14ac:dyDescent="0.15">
      <c r="A27" s="171"/>
      <c r="B27" s="111"/>
      <c r="C27" s="92"/>
      <c r="D27" s="301" t="s">
        <v>260</v>
      </c>
      <c r="E27" s="302"/>
      <c r="F27" s="303"/>
    </row>
    <row r="28" spans="1:8" ht="20.100000000000001" customHeight="1" x14ac:dyDescent="0.15">
      <c r="A28" s="171"/>
      <c r="B28" s="82"/>
      <c r="C28" s="110" t="str">
        <f>[3]세출!D39</f>
        <v>사회보험부담금</v>
      </c>
      <c r="D28" s="80">
        <f>'최초예산내역-세출'!D37</f>
        <v>25187833.737223998</v>
      </c>
      <c r="E28" s="80">
        <f>'최초예산내역-세출'!E37</f>
        <v>29300823.915951058</v>
      </c>
      <c r="F28" s="173">
        <f t="shared" si="6"/>
        <v>4112990.1787270606</v>
      </c>
    </row>
    <row r="29" spans="1:8" ht="19.5" customHeight="1" x14ac:dyDescent="0.15">
      <c r="A29" s="171"/>
      <c r="B29" s="82"/>
      <c r="C29" s="111"/>
      <c r="D29" s="301" t="s">
        <v>154</v>
      </c>
      <c r="E29" s="302"/>
      <c r="F29" s="303"/>
    </row>
    <row r="30" spans="1:8" ht="18.75" customHeight="1" x14ac:dyDescent="0.15">
      <c r="A30" s="171"/>
      <c r="B30" s="81" t="s">
        <v>275</v>
      </c>
      <c r="C30" s="110" t="s">
        <v>276</v>
      </c>
      <c r="D30" s="80">
        <f>'최초예산내역-세출'!D48</f>
        <v>600000</v>
      </c>
      <c r="E30" s="80">
        <f>'최초예산내역-세출'!E48</f>
        <v>840000</v>
      </c>
      <c r="F30" s="173">
        <f>D30-E30</f>
        <v>-240000</v>
      </c>
    </row>
    <row r="31" spans="1:8" ht="20.100000000000001" customHeight="1" x14ac:dyDescent="0.15">
      <c r="A31" s="171"/>
      <c r="B31" s="82"/>
      <c r="C31" s="154"/>
      <c r="D31" s="315" t="s">
        <v>278</v>
      </c>
      <c r="E31" s="307"/>
      <c r="F31" s="316"/>
    </row>
    <row r="32" spans="1:8" ht="18.75" customHeight="1" x14ac:dyDescent="0.15">
      <c r="A32" s="171"/>
      <c r="B32" s="81" t="s">
        <v>145</v>
      </c>
      <c r="C32" s="110" t="s">
        <v>150</v>
      </c>
      <c r="D32" s="80">
        <f>'최초예산내역-세출'!D64</f>
        <v>5820000</v>
      </c>
      <c r="E32" s="80">
        <f>'최초예산내역-세출'!E64</f>
        <v>5540000</v>
      </c>
      <c r="F32" s="173">
        <f t="shared" ref="F32" si="7">E32-D32</f>
        <v>-280000</v>
      </c>
    </row>
    <row r="33" spans="1:6" ht="20.100000000000001" customHeight="1" x14ac:dyDescent="0.15">
      <c r="A33" s="171"/>
      <c r="B33" s="82"/>
      <c r="C33" s="154"/>
      <c r="D33" s="315" t="s">
        <v>270</v>
      </c>
      <c r="E33" s="307"/>
      <c r="F33" s="316"/>
    </row>
    <row r="34" spans="1:6" ht="20.100000000000001" customHeight="1" x14ac:dyDescent="0.15">
      <c r="A34" s="171"/>
      <c r="B34" s="82"/>
      <c r="C34" s="82" t="s">
        <v>55</v>
      </c>
      <c r="D34" s="243">
        <f>'최초예산내역-세출'!D73</f>
        <v>3880000</v>
      </c>
      <c r="E34" s="244">
        <f>'최초예산내역-세출'!E73</f>
        <v>4160000</v>
      </c>
      <c r="F34" s="240">
        <f>E34-D34</f>
        <v>280000</v>
      </c>
    </row>
    <row r="35" spans="1:6" ht="20.100000000000001" customHeight="1" x14ac:dyDescent="0.15">
      <c r="A35" s="171"/>
      <c r="B35" s="82"/>
      <c r="C35" s="82"/>
      <c r="D35" s="317" t="s">
        <v>261</v>
      </c>
      <c r="E35" s="318"/>
      <c r="F35" s="319"/>
    </row>
    <row r="36" spans="1:6" ht="20.100000000000001" customHeight="1" x14ac:dyDescent="0.15">
      <c r="A36" s="169" t="s">
        <v>56</v>
      </c>
      <c r="B36" s="81" t="s">
        <v>49</v>
      </c>
      <c r="C36" s="110" t="s">
        <v>57</v>
      </c>
      <c r="D36" s="239">
        <f>'최초예산내역-세출'!D88</f>
        <v>21680000</v>
      </c>
      <c r="E36" s="239">
        <f>'최초예산내역-세출'!E88</f>
        <v>25808000</v>
      </c>
      <c r="F36" s="240">
        <f t="shared" ref="F36" si="8">E36-D36</f>
        <v>4128000</v>
      </c>
    </row>
    <row r="37" spans="1:6" ht="20.100000000000001" customHeight="1" x14ac:dyDescent="0.15">
      <c r="A37" s="171"/>
      <c r="B37" s="82"/>
      <c r="C37" s="111"/>
      <c r="D37" s="301" t="s">
        <v>271</v>
      </c>
      <c r="E37" s="302"/>
      <c r="F37" s="303"/>
    </row>
    <row r="38" spans="1:6" ht="20.100000000000001" customHeight="1" x14ac:dyDescent="0.15">
      <c r="A38" s="171"/>
      <c r="B38" s="82"/>
      <c r="C38" s="110" t="s">
        <v>58</v>
      </c>
      <c r="D38" s="239">
        <f>'최초예산내역-세출'!D91</f>
        <v>150000</v>
      </c>
      <c r="E38" s="239">
        <f>'최초예산내역-세출'!E91</f>
        <v>200000</v>
      </c>
      <c r="F38" s="240">
        <f t="shared" ref="F38" si="9">E38-D38</f>
        <v>50000</v>
      </c>
    </row>
    <row r="39" spans="1:6" ht="20.100000000000001" customHeight="1" x14ac:dyDescent="0.15">
      <c r="A39" s="171"/>
      <c r="B39" s="82"/>
      <c r="C39" s="111"/>
      <c r="D39" s="301" t="s">
        <v>266</v>
      </c>
      <c r="E39" s="302"/>
      <c r="F39" s="303"/>
    </row>
    <row r="40" spans="1:6" ht="19.5" customHeight="1" x14ac:dyDescent="0.15">
      <c r="A40" s="171"/>
      <c r="B40" s="81" t="s">
        <v>262</v>
      </c>
      <c r="C40" s="110" t="s">
        <v>102</v>
      </c>
      <c r="D40" s="241">
        <f>'최초예산내역-세출'!D96</f>
        <v>1890000</v>
      </c>
      <c r="E40" s="241">
        <f>'최초예산내역-세출'!E96</f>
        <v>3120000</v>
      </c>
      <c r="F40" s="240">
        <f t="shared" ref="F40" si="10">E40-D40</f>
        <v>1230000</v>
      </c>
    </row>
    <row r="41" spans="1:6" ht="19.5" customHeight="1" x14ac:dyDescent="0.15">
      <c r="A41" s="167"/>
      <c r="B41" s="82"/>
      <c r="C41" s="111"/>
      <c r="D41" s="301" t="s">
        <v>265</v>
      </c>
      <c r="E41" s="302"/>
      <c r="F41" s="303"/>
    </row>
    <row r="42" spans="1:6" ht="19.5" customHeight="1" x14ac:dyDescent="0.15">
      <c r="A42" s="171"/>
      <c r="B42" s="82"/>
      <c r="C42" s="110" t="str">
        <f>'최초예산내역-세출'!C108</f>
        <v>일상생활지원사업비</v>
      </c>
      <c r="D42" s="241">
        <f>'최초예산내역-세출'!D108</f>
        <v>310000</v>
      </c>
      <c r="E42" s="241">
        <f>'최초예산내역-세출'!E108</f>
        <v>920000</v>
      </c>
      <c r="F42" s="240">
        <f t="shared" ref="F42" si="11">E42-D42</f>
        <v>610000</v>
      </c>
    </row>
    <row r="43" spans="1:6" ht="19.5" customHeight="1" x14ac:dyDescent="0.15">
      <c r="A43" s="167"/>
      <c r="B43" s="82"/>
      <c r="C43" s="111"/>
      <c r="D43" s="301" t="s">
        <v>267</v>
      </c>
      <c r="E43" s="302"/>
      <c r="F43" s="303"/>
    </row>
    <row r="44" spans="1:6" ht="19.5" customHeight="1" x14ac:dyDescent="0.15">
      <c r="A44" s="171"/>
      <c r="B44" s="82"/>
      <c r="C44" s="110" t="s">
        <v>264</v>
      </c>
      <c r="D44" s="241">
        <v>6662000</v>
      </c>
      <c r="E44" s="241">
        <f>'최초예산내역-세출'!E109</f>
        <v>0</v>
      </c>
      <c r="F44" s="240">
        <f t="shared" ref="F44" si="12">E44-D44</f>
        <v>-6662000</v>
      </c>
    </row>
    <row r="45" spans="1:6" ht="19.5" customHeight="1" x14ac:dyDescent="0.15">
      <c r="A45" s="167"/>
      <c r="B45" s="82"/>
      <c r="C45" s="111"/>
      <c r="D45" s="214" t="s">
        <v>272</v>
      </c>
      <c r="E45" s="215"/>
      <c r="F45" s="216"/>
    </row>
    <row r="46" spans="1:6" ht="19.5" customHeight="1" x14ac:dyDescent="0.15">
      <c r="A46" s="171"/>
      <c r="B46" s="82"/>
      <c r="C46" s="110" t="str">
        <f>'최초예산내역-세출'!C111</f>
        <v>특별사업지원사업비</v>
      </c>
      <c r="D46" s="241">
        <f>'최초예산내역-세출'!D111</f>
        <v>1960000</v>
      </c>
      <c r="E46" s="241">
        <f>'최초예산내역-세출'!E111</f>
        <v>4320000</v>
      </c>
      <c r="F46" s="240">
        <f t="shared" ref="F46" si="13">E46-D46</f>
        <v>2360000</v>
      </c>
    </row>
    <row r="47" spans="1:6" ht="19.5" customHeight="1" x14ac:dyDescent="0.15">
      <c r="A47" s="167"/>
      <c r="B47" s="82"/>
      <c r="C47" s="111"/>
      <c r="D47" s="301" t="s">
        <v>268</v>
      </c>
      <c r="E47" s="302"/>
      <c r="F47" s="303"/>
    </row>
    <row r="48" spans="1:6" ht="20.100000000000001" customHeight="1" x14ac:dyDescent="0.15">
      <c r="A48" s="171"/>
      <c r="B48" s="81" t="s">
        <v>61</v>
      </c>
      <c r="C48" s="110" t="s">
        <v>62</v>
      </c>
      <c r="D48" s="239">
        <f>'최초예산내역-세출'!D126</f>
        <v>8850000</v>
      </c>
      <c r="E48" s="239">
        <f>'최초예산내역-세출'!E126</f>
        <v>4000000</v>
      </c>
      <c r="F48" s="240">
        <f t="shared" ref="F48" si="14">E48-D48</f>
        <v>-4850000</v>
      </c>
    </row>
    <row r="49" spans="1:6" ht="20.100000000000001" customHeight="1" x14ac:dyDescent="0.15">
      <c r="A49" s="171"/>
      <c r="B49" s="82"/>
      <c r="C49" s="111"/>
      <c r="D49" s="301" t="s">
        <v>263</v>
      </c>
      <c r="E49" s="302"/>
      <c r="F49" s="303"/>
    </row>
    <row r="50" spans="1:6" ht="19.5" customHeight="1" x14ac:dyDescent="0.15">
      <c r="A50" s="182" t="s">
        <v>68</v>
      </c>
      <c r="B50" s="42" t="s">
        <v>68</v>
      </c>
      <c r="C50" s="242" t="s">
        <v>69</v>
      </c>
      <c r="D50" s="183">
        <f>'최초예산내역-세출'!D141</f>
        <v>155510</v>
      </c>
      <c r="E50" s="183">
        <f>'최초예산내역-세출'!E141</f>
        <v>158802</v>
      </c>
      <c r="F50" s="184">
        <f t="shared" ref="F50" si="15">E50-D50</f>
        <v>3292</v>
      </c>
    </row>
    <row r="51" spans="1:6" ht="19.5" customHeight="1" x14ac:dyDescent="0.15">
      <c r="A51" s="174"/>
      <c r="B51" s="175"/>
      <c r="C51" s="176"/>
      <c r="D51" s="312" t="s">
        <v>146</v>
      </c>
      <c r="E51" s="313"/>
      <c r="F51" s="314"/>
    </row>
    <row r="52" spans="1:6" ht="23.1" customHeight="1" x14ac:dyDescent="0.15">
      <c r="A52" s="90"/>
      <c r="B52" s="79"/>
      <c r="D52" s="85"/>
      <c r="E52" s="85"/>
      <c r="F52" s="91"/>
    </row>
    <row r="53" spans="1:6" ht="23.1" customHeight="1" x14ac:dyDescent="0.15"/>
    <row r="54" spans="1:6" ht="23.1" customHeight="1" x14ac:dyDescent="0.15"/>
    <row r="55" spans="1:6" ht="23.1" customHeight="1" x14ac:dyDescent="0.15"/>
    <row r="56" spans="1:6" ht="23.1" customHeight="1" x14ac:dyDescent="0.15"/>
    <row r="57" spans="1:6" ht="23.1" customHeight="1" x14ac:dyDescent="0.15"/>
    <row r="58" spans="1:6" ht="23.1" customHeight="1" x14ac:dyDescent="0.15"/>
    <row r="59" spans="1:6" ht="23.1" customHeight="1" x14ac:dyDescent="0.15"/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26">
    <mergeCell ref="D27:F27"/>
    <mergeCell ref="D29:F29"/>
    <mergeCell ref="D51:F51"/>
    <mergeCell ref="D13:F13"/>
    <mergeCell ref="D39:F39"/>
    <mergeCell ref="D33:F33"/>
    <mergeCell ref="D35:F35"/>
    <mergeCell ref="D37:F37"/>
    <mergeCell ref="D41:F41"/>
    <mergeCell ref="D43:F43"/>
    <mergeCell ref="D49:F49"/>
    <mergeCell ref="D47:F47"/>
    <mergeCell ref="D31:F31"/>
    <mergeCell ref="A1:F1"/>
    <mergeCell ref="D7:F7"/>
    <mergeCell ref="A5:C5"/>
    <mergeCell ref="A21:C21"/>
    <mergeCell ref="D25:F25"/>
    <mergeCell ref="D23:F23"/>
    <mergeCell ref="D9:F9"/>
    <mergeCell ref="A2:B2"/>
    <mergeCell ref="A3:B3"/>
    <mergeCell ref="D17:F17"/>
    <mergeCell ref="A19:B19"/>
    <mergeCell ref="D11:F11"/>
    <mergeCell ref="D15:F1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5" firstPageNumber="10" orientation="portrait" useFirstPageNumber="1" r:id="rId2"/>
  <headerFooter alignWithMargins="0">
    <oddFooter xml:space="preserve">&amp;R참좋은 기억학교(2022.11.25.)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최초예산총괄</vt:lpstr>
      <vt:lpstr>최초예산내역-세입</vt:lpstr>
      <vt:lpstr>최초예산내역-세출</vt:lpstr>
      <vt:lpstr>최초예산 변경사유서</vt:lpstr>
      <vt:lpstr>'최초예산 변경사유서'!Print_Area</vt:lpstr>
      <vt:lpstr>'최초예산내역-세입'!Print_Area</vt:lpstr>
      <vt:lpstr>'최초예산내역-세출'!Print_Area</vt:lpstr>
      <vt:lpstr>최초예산총괄!Print_Area</vt:lpstr>
      <vt:lpstr>표지!Print_Area</vt:lpstr>
      <vt:lpstr>'최초예산 변경사유서'!Print_Titles</vt:lpstr>
      <vt:lpstr>'최초예산내역-세입'!Print_Titles</vt:lpstr>
      <vt:lpstr>'최초예산내역-세출'!Print_Titles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2022-11-28T04:26:09Z</cp:lastPrinted>
  <dcterms:created xsi:type="dcterms:W3CDTF">2016-12-07T07:13:09Z</dcterms:created>
  <dcterms:modified xsi:type="dcterms:W3CDTF">2022-12-23T06:32:57Z</dcterms:modified>
</cp:coreProperties>
</file>