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30" yWindow="150" windowWidth="19230" windowHeight="13740"/>
  </bookViews>
  <sheets>
    <sheet name="표지" sheetId="5" r:id="rId1"/>
    <sheet name="예산총칙" sheetId="1" r:id="rId2"/>
    <sheet name="결산추경예산총괄" sheetId="2" r:id="rId3"/>
    <sheet name="결산추경예산내역-세입" sheetId="8" r:id="rId4"/>
    <sheet name="결산추경예산내역-세출" sheetId="7" r:id="rId5"/>
    <sheet name="결산추경예산 변경사유서" sheetId="6" r:id="rId6"/>
  </sheets>
  <externalReferences>
    <externalReference r:id="rId7"/>
  </externalReferences>
  <definedNames>
    <definedName name="_xlnm.Print_Area" localSheetId="5">'결산추경예산 변경사유서'!$A$1:$F$39</definedName>
    <definedName name="_xlnm.Print_Area" localSheetId="3">'결산추경예산내역-세입'!$A$1:$I$39</definedName>
    <definedName name="_xlnm.Print_Area" localSheetId="4">'결산추경예산내역-세출'!$A$1:$I$140</definedName>
    <definedName name="_xlnm.Print_Area" localSheetId="2">결산추경예산총괄!$A$1:$E$24</definedName>
    <definedName name="_xlnm.Print_Area" localSheetId="1">예산총칙!$A$1:$B$18</definedName>
    <definedName name="_xlnm.Print_Area" localSheetId="0">표지!$A$1:$A$12</definedName>
    <definedName name="_xlnm.Print_Titles" localSheetId="5">'결산추경예산 변경사유서'!$17:$18</definedName>
    <definedName name="_xlnm.Print_Titles" localSheetId="3">'결산추경예산내역-세입'!$3:$5</definedName>
    <definedName name="_xlnm.Print_Titles" localSheetId="4">'결산추경예산내역-세출'!$3:$5</definedName>
    <definedName name="Z_29BE6789_D580_482F_AE13_9E62D887C1AB_.wvu.PrintArea" localSheetId="5" hidden="1">'결산추경예산 변경사유서'!$A$1:$F$27</definedName>
    <definedName name="Z_29BE6789_D580_482F_AE13_9E62D887C1AB_.wvu.PrintArea" localSheetId="3" hidden="1">'결산추경예산내역-세입'!$A$1:$I$39</definedName>
    <definedName name="Z_29BE6789_D580_482F_AE13_9E62D887C1AB_.wvu.PrintArea" localSheetId="4" hidden="1">'결산추경예산내역-세출'!$A$1:$I$140</definedName>
    <definedName name="Z_29BE6789_D580_482F_AE13_9E62D887C1AB_.wvu.PrintArea" localSheetId="2" hidden="1">결산추경예산총괄!$A$1:$E$24</definedName>
    <definedName name="Z_29BE6789_D580_482F_AE13_9E62D887C1AB_.wvu.PrintArea" localSheetId="0" hidden="1">표지!$A$1:$A$12</definedName>
    <definedName name="Z_29BE6789_D580_482F_AE13_9E62D887C1AB_.wvu.PrintTitles" localSheetId="5" hidden="1">'결산추경예산 변경사유서'!$17:$18</definedName>
    <definedName name="Z_29BE6789_D580_482F_AE13_9E62D887C1AB_.wvu.PrintTitles" localSheetId="3" hidden="1">'결산추경예산내역-세입'!$3:$5</definedName>
    <definedName name="Z_29BE6789_D580_482F_AE13_9E62D887C1AB_.wvu.PrintTitles" localSheetId="4" hidden="1">'결산추경예산내역-세출'!$3:$5</definedName>
  </definedNames>
  <calcPr calcId="144525"/>
  <customWorkbookViews>
    <customWorkbookView name="PC - 사용자 보기" guid="{29BE6789-D580-482F-AE13-9E62D887C1AB}" mergeInterval="0" personalView="1" maximized="1" windowWidth="1596" windowHeight="607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7" l="1"/>
  <c r="E9" i="7"/>
  <c r="E38" i="6"/>
  <c r="F38" i="6" s="1"/>
  <c r="D38" i="6"/>
  <c r="C38" i="6"/>
  <c r="E36" i="6"/>
  <c r="D36" i="6"/>
  <c r="C36" i="6"/>
  <c r="E34" i="6"/>
  <c r="D34" i="6"/>
  <c r="C34" i="6"/>
  <c r="E32" i="6"/>
  <c r="D32" i="6"/>
  <c r="C32" i="6"/>
  <c r="E30" i="6"/>
  <c r="D30" i="6"/>
  <c r="C30" i="6"/>
  <c r="E28" i="6"/>
  <c r="D28" i="6"/>
  <c r="C28" i="6"/>
  <c r="E26" i="6"/>
  <c r="D26" i="6"/>
  <c r="C26" i="6"/>
  <c r="E24" i="6"/>
  <c r="D24" i="6"/>
  <c r="C24" i="6"/>
  <c r="E22" i="6"/>
  <c r="D22" i="6"/>
  <c r="C22" i="6"/>
  <c r="E19" i="6"/>
  <c r="E5" i="6"/>
  <c r="F36" i="6" l="1"/>
  <c r="F34" i="6"/>
  <c r="F32" i="6"/>
  <c r="F26" i="6"/>
  <c r="F28" i="6"/>
  <c r="F22" i="6"/>
  <c r="F24" i="6"/>
  <c r="E10" i="6" l="1"/>
  <c r="D10" i="6"/>
  <c r="D12" i="6"/>
  <c r="E12" i="6"/>
  <c r="I123" i="7"/>
  <c r="I57" i="7"/>
  <c r="E6" i="8"/>
  <c r="I70" i="7"/>
  <c r="I54" i="7"/>
  <c r="E124" i="7"/>
  <c r="I128" i="7"/>
  <c r="F12" i="6" l="1"/>
  <c r="F10" i="6"/>
  <c r="I110" i="7" l="1"/>
  <c r="I111" i="7"/>
  <c r="I45" i="7"/>
  <c r="I92" i="7"/>
  <c r="I10" i="8"/>
  <c r="I134" i="7" l="1"/>
  <c r="I35" i="8"/>
  <c r="I71" i="7"/>
  <c r="I108" i="7" l="1"/>
  <c r="I138" i="7"/>
  <c r="I93" i="7"/>
  <c r="E91" i="7" s="1"/>
  <c r="I75" i="7"/>
  <c r="I33" i="8"/>
  <c r="I34" i="8"/>
  <c r="I125" i="7"/>
  <c r="I34" i="7"/>
  <c r="I16" i="8"/>
  <c r="E15" i="8" s="1"/>
  <c r="E12" i="8" s="1"/>
  <c r="I23" i="8"/>
  <c r="E22" i="8" s="1"/>
  <c r="E20" i="8" s="1"/>
  <c r="E19" i="8" s="1"/>
  <c r="I113" i="7"/>
  <c r="E112" i="7" s="1"/>
  <c r="I27" i="8"/>
  <c r="E26" i="8" s="1"/>
  <c r="I18" i="8"/>
  <c r="I17" i="8"/>
  <c r="I115" i="7"/>
  <c r="I106" i="7"/>
  <c r="I103" i="7"/>
  <c r="I100" i="7"/>
  <c r="I66" i="7"/>
  <c r="I72" i="7"/>
  <c r="F112" i="7" l="1"/>
  <c r="D6" i="6"/>
  <c r="D5" i="6" l="1"/>
  <c r="E9" i="8" l="1"/>
  <c r="D14" i="6"/>
  <c r="D19" i="6"/>
  <c r="D8" i="6"/>
  <c r="I44" i="7" l="1"/>
  <c r="I43" i="7"/>
  <c r="I41" i="7"/>
  <c r="I40" i="7"/>
  <c r="I126" i="7"/>
  <c r="I11" i="7"/>
  <c r="I10" i="7"/>
  <c r="I74" i="7" l="1"/>
  <c r="I36" i="7"/>
  <c r="I28" i="7"/>
  <c r="E25" i="8"/>
  <c r="E24" i="8" s="1"/>
  <c r="D9" i="2" s="1"/>
  <c r="E7" i="8" l="1"/>
  <c r="I39" i="8"/>
  <c r="E32" i="8"/>
  <c r="I31" i="8"/>
  <c r="E38" i="8" l="1"/>
  <c r="D11" i="2"/>
  <c r="I129" i="7"/>
  <c r="I127" i="7"/>
  <c r="I32" i="7" l="1"/>
  <c r="I42" i="7" l="1"/>
  <c r="E39" i="7" s="1"/>
  <c r="I17" i="7" l="1"/>
  <c r="I23" i="7" l="1"/>
  <c r="I22" i="7"/>
  <c r="I21" i="7"/>
  <c r="I20" i="7"/>
  <c r="I19" i="7"/>
  <c r="I18" i="7"/>
  <c r="I16" i="7"/>
  <c r="I15" i="7"/>
  <c r="I14" i="7"/>
  <c r="I13" i="7"/>
  <c r="I12" i="7"/>
  <c r="I25" i="7"/>
  <c r="I24" i="7"/>
  <c r="E37" i="7"/>
  <c r="I49" i="7"/>
  <c r="I48" i="7"/>
  <c r="I47" i="7"/>
  <c r="I52" i="7"/>
  <c r="I63" i="7"/>
  <c r="I62" i="7"/>
  <c r="I61" i="7"/>
  <c r="I60" i="7"/>
  <c r="I59" i="7"/>
  <c r="I65" i="7"/>
  <c r="I69" i="7"/>
  <c r="I68" i="7"/>
  <c r="I85" i="7"/>
  <c r="I84" i="7"/>
  <c r="I83" i="7"/>
  <c r="I88" i="7"/>
  <c r="I87" i="7"/>
  <c r="I95" i="7"/>
  <c r="I98" i="7"/>
  <c r="I105" i="7"/>
  <c r="I104" i="7"/>
  <c r="I102" i="7"/>
  <c r="I101" i="7"/>
  <c r="I118" i="7"/>
  <c r="I117" i="7"/>
  <c r="I116" i="7"/>
  <c r="I132" i="7"/>
  <c r="I131" i="7"/>
  <c r="E8" i="7" l="1"/>
  <c r="E114" i="7"/>
  <c r="E99" i="7"/>
  <c r="E46" i="7"/>
  <c r="I9" i="7"/>
  <c r="E26" i="7"/>
  <c r="F39" i="7"/>
  <c r="F37" i="7"/>
  <c r="G37" i="7"/>
  <c r="E82" i="7"/>
  <c r="E7" i="7" l="1"/>
  <c r="D17" i="2"/>
  <c r="F9" i="7"/>
  <c r="F26" i="7"/>
  <c r="G39" i="7"/>
  <c r="G26" i="7"/>
  <c r="G9" i="7"/>
  <c r="I78" i="7" l="1"/>
  <c r="I77" i="7"/>
  <c r="G38" i="8" l="1"/>
  <c r="F38" i="8"/>
  <c r="E37" i="8"/>
  <c r="E30" i="8"/>
  <c r="F26" i="8"/>
  <c r="F25" i="8"/>
  <c r="F24" i="8"/>
  <c r="F22" i="8"/>
  <c r="F21" i="8"/>
  <c r="F20" i="8"/>
  <c r="F19" i="8"/>
  <c r="D8" i="2" s="1"/>
  <c r="F14" i="8"/>
  <c r="F13" i="8"/>
  <c r="E139" i="7"/>
  <c r="E137" i="7"/>
  <c r="E133" i="7"/>
  <c r="E122" i="7"/>
  <c r="I120" i="7"/>
  <c r="E119" i="7" s="1"/>
  <c r="E109" i="7"/>
  <c r="E107" i="7"/>
  <c r="E97" i="7"/>
  <c r="E94" i="7"/>
  <c r="I79" i="7"/>
  <c r="E56" i="7"/>
  <c r="E53" i="7"/>
  <c r="E51" i="7"/>
  <c r="G46" i="7"/>
  <c r="E50" i="7" l="1"/>
  <c r="E86" i="7"/>
  <c r="G86" i="7" s="1"/>
  <c r="F99" i="7"/>
  <c r="E58" i="7"/>
  <c r="G58" i="7" s="1"/>
  <c r="F109" i="7"/>
  <c r="G109" i="7"/>
  <c r="F107" i="7"/>
  <c r="G107" i="7"/>
  <c r="F82" i="7"/>
  <c r="E64" i="7"/>
  <c r="G64" i="7" s="1"/>
  <c r="G37" i="8"/>
  <c r="F114" i="7"/>
  <c r="F46" i="7"/>
  <c r="E67" i="7"/>
  <c r="E76" i="7"/>
  <c r="E73" i="7"/>
  <c r="F30" i="6"/>
  <c r="E130" i="7"/>
  <c r="E36" i="8"/>
  <c r="G36" i="8" s="1"/>
  <c r="E29" i="8"/>
  <c r="E28" i="8" s="1"/>
  <c r="F30" i="8"/>
  <c r="G30" i="8"/>
  <c r="D7" i="2"/>
  <c r="G15" i="8"/>
  <c r="F15" i="8"/>
  <c r="G9" i="8"/>
  <c r="F9" i="8"/>
  <c r="E8" i="8"/>
  <c r="F37" i="8"/>
  <c r="F53" i="7"/>
  <c r="G53" i="7"/>
  <c r="F94" i="7"/>
  <c r="G94" i="7"/>
  <c r="F122" i="7"/>
  <c r="G122" i="7"/>
  <c r="G137" i="7"/>
  <c r="F137" i="7"/>
  <c r="E136" i="7"/>
  <c r="F51" i="7"/>
  <c r="G51" i="7"/>
  <c r="F97" i="7"/>
  <c r="G97" i="7"/>
  <c r="F119" i="7"/>
  <c r="G119" i="7"/>
  <c r="G133" i="7"/>
  <c r="F133" i="7"/>
  <c r="G139" i="7"/>
  <c r="F139" i="7"/>
  <c r="F56" i="7"/>
  <c r="G56" i="7"/>
  <c r="F91" i="7"/>
  <c r="E90" i="7"/>
  <c r="D21" i="2" s="1"/>
  <c r="G91" i="7"/>
  <c r="E96" i="7" l="1"/>
  <c r="F28" i="8"/>
  <c r="G28" i="8"/>
  <c r="F36" i="8"/>
  <c r="F73" i="7"/>
  <c r="F67" i="7"/>
  <c r="F50" i="7"/>
  <c r="D18" i="2"/>
  <c r="E18" i="2" s="1"/>
  <c r="D6" i="2"/>
  <c r="E6" i="6"/>
  <c r="G50" i="7"/>
  <c r="G130" i="7"/>
  <c r="E121" i="7"/>
  <c r="F86" i="7"/>
  <c r="G114" i="7"/>
  <c r="G73" i="7"/>
  <c r="F58" i="7"/>
  <c r="F64" i="7"/>
  <c r="D22" i="2"/>
  <c r="G99" i="7"/>
  <c r="F130" i="7"/>
  <c r="G82" i="7"/>
  <c r="E81" i="7"/>
  <c r="G81" i="7" s="1"/>
  <c r="G32" i="8"/>
  <c r="F32" i="8"/>
  <c r="G67" i="7"/>
  <c r="E55" i="7"/>
  <c r="G124" i="7"/>
  <c r="F124" i="7"/>
  <c r="F76" i="7"/>
  <c r="G76" i="7"/>
  <c r="F8" i="8"/>
  <c r="G8" i="8"/>
  <c r="E11" i="8"/>
  <c r="E8" i="6" s="1"/>
  <c r="F12" i="8"/>
  <c r="G12" i="8"/>
  <c r="G29" i="8"/>
  <c r="F29" i="8"/>
  <c r="F136" i="7"/>
  <c r="G136" i="7"/>
  <c r="E135" i="7"/>
  <c r="D24" i="2" s="1"/>
  <c r="G90" i="7"/>
  <c r="F90" i="7"/>
  <c r="E14" i="6" l="1"/>
  <c r="D10" i="2"/>
  <c r="D23" i="2"/>
  <c r="G121" i="7"/>
  <c r="F121" i="7"/>
  <c r="E80" i="7"/>
  <c r="D20" i="2" s="1"/>
  <c r="F81" i="7"/>
  <c r="G96" i="7"/>
  <c r="F96" i="7"/>
  <c r="E89" i="7"/>
  <c r="G89" i="7" s="1"/>
  <c r="G8" i="7"/>
  <c r="F8" i="7"/>
  <c r="F55" i="7"/>
  <c r="D19" i="2"/>
  <c r="G7" i="7"/>
  <c r="G55" i="7"/>
  <c r="F7" i="8"/>
  <c r="G7" i="8"/>
  <c r="F11" i="8"/>
  <c r="G11" i="8"/>
  <c r="F135" i="7"/>
  <c r="G135" i="7"/>
  <c r="E6" i="7" l="1"/>
  <c r="F80" i="7"/>
  <c r="G80" i="7"/>
  <c r="F89" i="7"/>
  <c r="F7" i="7"/>
  <c r="F6" i="8"/>
  <c r="G6" i="8"/>
  <c r="G6" i="7" l="1"/>
  <c r="F6" i="7"/>
  <c r="F14" i="6"/>
  <c r="F8" i="6" l="1"/>
  <c r="B20" i="6" l="1"/>
  <c r="A20" i="6"/>
  <c r="F6" i="6"/>
  <c r="C6" i="6"/>
  <c r="B6" i="6"/>
  <c r="A6" i="6"/>
  <c r="F5" i="6" l="1"/>
  <c r="F19" i="6" l="1"/>
  <c r="E22" i="2"/>
  <c r="E20" i="2"/>
  <c r="E23" i="2" l="1"/>
  <c r="E19" i="2" l="1"/>
  <c r="E21" i="2"/>
  <c r="D5" i="2" l="1"/>
  <c r="E24" i="2" l="1"/>
  <c r="E17" i="2"/>
  <c r="D16" i="2"/>
  <c r="E11" i="2"/>
  <c r="E10" i="2"/>
  <c r="E9" i="2"/>
  <c r="E8" i="2"/>
  <c r="E7" i="2"/>
  <c r="E6" i="2"/>
  <c r="E16" i="2" l="1"/>
  <c r="E5" i="2"/>
</calcChain>
</file>

<file path=xl/sharedStrings.xml><?xml version="1.0" encoding="utf-8"?>
<sst xmlns="http://schemas.openxmlformats.org/spreadsheetml/2006/main" count="372" uniqueCount="272">
  <si>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</si>
  <si>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</si>
  <si>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</si>
  <si>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</si>
  <si>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</si>
  <si>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</si>
  <si>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</si>
  <si>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</si>
  <si>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</si>
  <si>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</si>
  <si>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</si>
  <si>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</si>
  <si>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</si>
  <si>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</si>
  <si>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</si>
  <si>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</si>
  <si>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</si>
  <si>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</si>
  <si>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</si>
  <si>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</si>
  <si>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</si>
  <si>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</si>
  <si>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</si>
  <si>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</si>
  <si>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</si>
  <si>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</si>
  <si>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</si>
  <si>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</si>
  <si>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</si>
  <si>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</si>
  <si>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</si>
  <si>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</si>
  <si>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</si>
  <si>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</si>
  <si>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</si>
  <si>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</si>
  <si>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</si>
  <si>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</si>
  <si>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</si>
  <si>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</si>
  <si>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</si>
  <si>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</si>
  <si>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</si>
  <si>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</si>
  <si>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</si>
  <si>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</si>
  <si>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</si>
  <si>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</si>
  <si>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</si>
  <si>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</si>
  <si>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</si>
  <si>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</si>
  <si>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</si>
  <si>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</si>
  <si>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</si>
  <si>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</si>
  <si>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</si>
  <si>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</si>
  <si>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</si>
  <si>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</si>
  <si>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</si>
  <si>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</si>
  <si>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</si>
  <si>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</si>
  <si>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</si>
  <si>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</si>
  <si>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</si>
  <si>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</si>
  <si>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</si>
  <si>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</si>
  <si>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</si>
  <si>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</si>
  <si>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</si>
  <si>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</si>
  <si>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</si>
  <si>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</si>
  <si>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</si>
  <si>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</si>
  <si>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</si>
  <si>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</si>
  <si>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</si>
  <si>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</si>
  <si>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</si>
  <si>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</si>
  <si>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8" type="noConversion"/>
  </si>
  <si>
    <t>인     건     비</t>
    <phoneticPr fontId="8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</si>
  <si>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</si>
  <si>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</si>
  <si>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</si>
  <si>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</si>
  <si>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</si>
  <si>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</si>
  <si>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</si>
  <si>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</si>
  <si>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</si>
  <si>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</si>
  <si>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</si>
  <si>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</si>
  <si>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</si>
  <si>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</si>
  <si>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</si>
  <si>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</si>
  <si>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</si>
  <si>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</si>
  <si>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</si>
  <si>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</si>
  <si>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</si>
  <si>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</si>
  <si>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</si>
  <si>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</si>
  <si>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*기관운영비: 150,000원 x 4분기</t>
    <phoneticPr fontId="2" type="noConversion"/>
  </si>
  <si>
    <t>*신원보증보험: 50,000원 x 2명</t>
    <phoneticPr fontId="2" type="noConversion"/>
  </si>
  <si>
    <t>*어버이날행사: 6,000원 x 40명 x 1회</t>
    <phoneticPr fontId="2" type="noConversion"/>
  </si>
  <si>
    <t>*간호처치 및 관리: 150,000원 x 4회</t>
    <phoneticPr fontId="2" type="noConversion"/>
  </si>
  <si>
    <t>*기타운영비: 50,000원 x 2회</t>
    <phoneticPr fontId="2" type="noConversion"/>
  </si>
  <si>
    <t>*주방 닥트청소 및 유지관리비 : 300,000원 x 1회</t>
    <phoneticPr fontId="2" type="noConversion"/>
  </si>
  <si>
    <t>*기타수용비 및 인쇄비: 300,000원 x 4회</t>
    <phoneticPr fontId="2" type="noConversion"/>
  </si>
  <si>
    <t>보조금수입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</si>
  <si>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</si>
  <si>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</si>
  <si>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</si>
  <si>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시도보조금수입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</si>
  <si>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</si>
  <si>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</si>
  <si>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</si>
  <si>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</si>
  <si>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</si>
  <si>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*원예교실: 50,000원 x 12회</t>
    <phoneticPr fontId="2" type="noConversion"/>
  </si>
  <si>
    <t>*미술교실: 70,000원 x 12회</t>
    <phoneticPr fontId="2" type="noConversion"/>
  </si>
  <si>
    <t>*절기행사(설, 추석 外): 188,000원 x 5회</t>
    <phoneticPr fontId="2" type="noConversion"/>
  </si>
  <si>
    <t>반환금</t>
    <phoneticPr fontId="2" type="noConversion"/>
  </si>
  <si>
    <t>기타잡수입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</si>
  <si>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</si>
  <si>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</si>
  <si>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</si>
  <si>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</si>
  <si>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</si>
  <si>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*직원식대비: 285,000원 x 12월</t>
    <phoneticPr fontId="2" type="noConversion"/>
  </si>
  <si>
    <t>*직원상용피복비: 40,000원 x 9명</t>
    <phoneticPr fontId="2" type="noConversion"/>
  </si>
  <si>
    <t>3. 본 예산은 사회복지법인 재무회계규칙 제 2장 예산과 결산에 의거 편성하며 집행한다.</t>
    <phoneticPr fontId="2" type="noConversion"/>
  </si>
  <si>
    <t xml:space="preserve">2022년 참좋은기억학교 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</si>
  <si>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</si>
  <si>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</si>
  <si>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 복리후생경비: 200,000원 x 2회</t>
    <phoneticPr fontId="2" type="noConversion"/>
  </si>
  <si>
    <t>*명절선물 및 포상 등: 200,000원 x 2회</t>
    <phoneticPr fontId="2" type="noConversion"/>
  </si>
  <si>
    <t>*자원봉사자 관리비: 200,000원 x 2회</t>
    <phoneticPr fontId="2" type="noConversion"/>
  </si>
  <si>
    <t>*기타사업 및 교구구입비: 100,000원 x 2회</t>
    <phoneticPr fontId="2" type="noConversion"/>
  </si>
  <si>
    <t>*특별행사PG: 150,000원 x 2회</t>
    <phoneticPr fontId="2" type="noConversion"/>
  </si>
  <si>
    <t>*다도교실: 35,000원  x 6회</t>
    <phoneticPr fontId="2" type="noConversion"/>
  </si>
  <si>
    <t>*음악교실: 100,000원 x 2회</t>
    <phoneticPr fontId="2" type="noConversion"/>
  </si>
  <si>
    <t>*도형교실: 5,000원 x 40명 x 1회</t>
    <phoneticPr fontId="2" type="noConversion"/>
  </si>
  <si>
    <t>*보호자 자조모임(상,하반기): 300,000원 x 2회</t>
    <phoneticPr fontId="2" type="noConversion"/>
  </si>
  <si>
    <t>*수용기관경비: 150,000원 x 1회</t>
    <phoneticPr fontId="2" type="noConversion"/>
  </si>
  <si>
    <t>*냉난방기 유지관리비 外: 550,000원 x 1회</t>
    <phoneticPr fontId="2" type="noConversion"/>
  </si>
  <si>
    <t>*송영차량구입 월할부금(쉐보레 스파크): 238,333원 x 12회</t>
    <phoneticPr fontId="2" type="noConversion"/>
  </si>
  <si>
    <t>*영업배상책임보험 外: 500,000원 x 2회</t>
    <phoneticPr fontId="2" type="noConversion"/>
  </si>
  <si>
    <t>*사무용품 및 집기구입: 340,600원 x 8회</t>
    <phoneticPr fontId="2" type="noConversion"/>
  </si>
  <si>
    <t>*복사기/복합기임차료: 204,600원 x 12월</t>
    <phoneticPr fontId="2" type="noConversion"/>
  </si>
  <si>
    <t xml:space="preserve">시간외수당(월 5시간 * 7명 * 12월) </t>
    <phoneticPr fontId="2" type="noConversion"/>
  </si>
  <si>
    <t>*간호조무사(연봉제): 1,970,000원 x 12월 x 1명</t>
    <phoneticPr fontId="2" type="noConversion"/>
  </si>
  <si>
    <t>*조리사(연봉제):1,550,000원 x 12월 x 1명</t>
    <phoneticPr fontId="2" type="noConversion"/>
  </si>
  <si>
    <t>*선임사회복지사1(8호봉): 2,610,800원 x 1월 x 1명</t>
    <phoneticPr fontId="2" type="noConversion"/>
  </si>
  <si>
    <t>*선임사회복지사1(9호봉): 2,713,000원 x 11월 x 1명</t>
    <phoneticPr fontId="2" type="noConversion"/>
  </si>
  <si>
    <t>*사회복지사2(7호봉): 2,332,500원 x 9월 x 1명</t>
    <phoneticPr fontId="2" type="noConversion"/>
  </si>
  <si>
    <t>*사회복지사2(8호봉): 2,424,700원 x 3월 x 1명</t>
    <phoneticPr fontId="2" type="noConversion"/>
  </si>
  <si>
    <t>*사무원(2호봉): 2,000,900원 x 4월 x 1명</t>
    <phoneticPr fontId="2" type="noConversion"/>
  </si>
  <si>
    <t>*사무원(1호봉): 1,950,300원 x 8월 x 1명</t>
    <phoneticPr fontId="2" type="noConversion"/>
  </si>
  <si>
    <t>*사회복지사5(4호봉): 2,123,400원 x 11월 x 1명</t>
    <phoneticPr fontId="2" type="noConversion"/>
  </si>
  <si>
    <t>*사회복지사4(2호봉): 2,020,600원 x 10월 x 1명</t>
    <phoneticPr fontId="2" type="noConversion"/>
  </si>
  <si>
    <t>*사회복지사4(1호봉): 1,989,200원 x 2월 x 1명</t>
    <phoneticPr fontId="2" type="noConversion"/>
  </si>
  <si>
    <t>*사회복지사3(2호봉): 2,020,600원 x 10월 x 1명</t>
    <phoneticPr fontId="2" type="noConversion"/>
  </si>
  <si>
    <t>*사회복지사3(3호봉): 2,065,600원 x 2월 x 1명</t>
    <phoneticPr fontId="2" type="noConversion"/>
  </si>
  <si>
    <t>*명절상여금 : 22,927,880원</t>
    <phoneticPr fontId="2" type="noConversion"/>
  </si>
  <si>
    <t>명절상여금 : 11,463,940원 x 2회</t>
    <phoneticPr fontId="2" type="noConversion"/>
  </si>
  <si>
    <t>*기타 교육 등: 30,000원 x 4회</t>
    <phoneticPr fontId="2" type="noConversion"/>
  </si>
  <si>
    <t>*간호조무사 보수교욱: 35,000원 x 1명</t>
    <phoneticPr fontId="2" type="noConversion"/>
  </si>
  <si>
    <t>*사회보험 퇴직자 정산금 : 500,000원 x 1회</t>
    <phoneticPr fontId="2" type="noConversion"/>
  </si>
  <si>
    <t>*장기요양보험: 8,537,216원 x 12.27%</t>
    <phoneticPr fontId="2" type="noConversion"/>
  </si>
  <si>
    <t>*기타예금이자수입: 15,050원 * 2회</t>
    <phoneticPr fontId="2" type="noConversion"/>
  </si>
  <si>
    <t>*전년도이월금(사업수입): 7,977,085원 x 1회</t>
    <phoneticPr fontId="2" type="noConversion"/>
  </si>
  <si>
    <t>*시군구보조금(관리운영비): 5,250,000원 x 4분기</t>
    <phoneticPr fontId="2" type="noConversion"/>
  </si>
  <si>
    <t>*반환금(보조금예금이자수입): 20,000원 x 1회</t>
    <phoneticPr fontId="2" type="noConversion"/>
  </si>
  <si>
    <t>운영비</t>
    <phoneticPr fontId="2" type="noConversion"/>
  </si>
  <si>
    <t>*종사자 입퇴사에 따른 기타잡수입 감액 조정</t>
    <phoneticPr fontId="2" type="noConversion"/>
  </si>
  <si>
    <t>잡수입</t>
    <phoneticPr fontId="2" type="noConversion"/>
  </si>
  <si>
    <t>기타잡수입</t>
    <phoneticPr fontId="2" type="noConversion"/>
  </si>
  <si>
    <t xml:space="preserve"> </t>
    <phoneticPr fontId="2" type="noConversion"/>
  </si>
  <si>
    <t>*시설장(15호봉): 3,522,100원 x 11월 x 1명</t>
    <phoneticPr fontId="2" type="noConversion"/>
  </si>
  <si>
    <t>*시설장(14호봉): 3,445,300원 x 1월 x 1명</t>
    <phoneticPr fontId="2" type="noConversion"/>
  </si>
  <si>
    <t>임금보전액 : 15,530원 x 12회</t>
    <phoneticPr fontId="2" type="noConversion"/>
  </si>
  <si>
    <t>*임금보전액 : 186,360원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</si>
  <si>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</si>
  <si>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</si>
  <si>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*국민연금: 242,817,600원 x 4.5%</t>
    <phoneticPr fontId="2" type="noConversion"/>
  </si>
  <si>
    <t>*건강보험: 242,817,600원 x 3.495%</t>
    <phoneticPr fontId="2" type="noConversion"/>
  </si>
  <si>
    <t>*고용보험: 200,629,200원 x 1.35%</t>
    <phoneticPr fontId="2" type="noConversion"/>
  </si>
  <si>
    <t>*산재보험: 200,629,200원 x 0.76%</t>
    <phoneticPr fontId="2" type="noConversion"/>
  </si>
  <si>
    <t>사업비</t>
    <phoneticPr fontId="2" type="noConversion"/>
  </si>
  <si>
    <t>전입금</t>
    <phoneticPr fontId="2" type="noConversion"/>
  </si>
  <si>
    <t>전입금</t>
    <phoneticPr fontId="2" type="noConversion"/>
  </si>
  <si>
    <t>*퇴직적립금: 22,941,420원 x 1회</t>
    <phoneticPr fontId="2" type="noConversion"/>
  </si>
  <si>
    <t>법인전입금(후원금)</t>
    <phoneticPr fontId="2" type="noConversion"/>
  </si>
  <si>
    <t>결산 추경 세입.세출 예산(안)</t>
    <phoneticPr fontId="2" type="noConversion"/>
  </si>
  <si>
    <t>1. 참좋은기억학교의 2022년 결산 추가경정 세입,세출 예산은 다음과 같다.</t>
    <phoneticPr fontId="2" type="noConversion"/>
  </si>
  <si>
    <t>2022년 참좋은기억학교 결산추경예산 총괄내역서</t>
    <phoneticPr fontId="2" type="noConversion"/>
  </si>
  <si>
    <t>1) 2022년 참좋은기억학교 결산 추경 세입 예산 내역</t>
    <phoneticPr fontId="2" type="noConversion"/>
  </si>
  <si>
    <t>2) 2022년 참좋은기억학교 결산 추경 세출 예산 내역</t>
    <phoneticPr fontId="2" type="noConversion"/>
  </si>
  <si>
    <t>2022년 참좋은기억학교 결산 추경 예산 변경사유</t>
    <phoneticPr fontId="2" type="noConversion"/>
  </si>
  <si>
    <t>2차추경
(A)</t>
    <phoneticPr fontId="2" type="noConversion"/>
  </si>
  <si>
    <t>결산추경
(B)</t>
    <phoneticPr fontId="2" type="noConversion"/>
  </si>
  <si>
    <t>2차추경
(B)</t>
    <phoneticPr fontId="2" type="noConversion"/>
  </si>
  <si>
    <t>2022년
2차추경(A)</t>
    <phoneticPr fontId="17" type="noConversion"/>
  </si>
  <si>
    <t>2022년
결산추경(B)</t>
    <phoneticPr fontId="2" type="noConversion"/>
  </si>
  <si>
    <t>*사회복지사6(5호봉): 2,183,800원 x 1월 x 1명</t>
    <phoneticPr fontId="2" type="noConversion"/>
  </si>
  <si>
    <t>가족수당 : 265,000원 x 4분기</t>
    <phoneticPr fontId="2" type="noConversion"/>
  </si>
  <si>
    <t>*가족수당 : 1,060,000원</t>
    <phoneticPr fontId="2" type="noConversion"/>
  </si>
  <si>
    <t>*시간외수당 : 6,625,200원</t>
    <phoneticPr fontId="2" type="noConversion"/>
  </si>
  <si>
    <t>*자동차세 外: 80,000원 x 3대</t>
    <phoneticPr fontId="2" type="noConversion"/>
  </si>
  <si>
    <t>*전기,도시가스,상하수도 등: 400,000원 x 12월</t>
    <phoneticPr fontId="2" type="noConversion"/>
  </si>
  <si>
    <t>*유류대: 600,000원 x 12월(송영차량 3대)</t>
    <phoneticPr fontId="2" type="noConversion"/>
  </si>
  <si>
    <t>*노후비품 교체 자산취득비: 250,000원 x 2회</t>
  </si>
  <si>
    <t>*과학교실: 15,000원 x 1회</t>
    <phoneticPr fontId="2" type="noConversion"/>
  </si>
  <si>
    <t>*문학교실: 15,000원 x 1회</t>
    <phoneticPr fontId="2" type="noConversion"/>
  </si>
  <si>
    <t>*생신잔치: 40,000원 x 12회</t>
    <phoneticPr fontId="2" type="noConversion"/>
  </si>
  <si>
    <t>법인전입금</t>
    <phoneticPr fontId="2" type="noConversion"/>
  </si>
  <si>
    <t>*법인전입금: 850,000원 x 4분기</t>
    <phoneticPr fontId="2" type="noConversion"/>
  </si>
  <si>
    <t>전산인지사업비</t>
    <phoneticPr fontId="2" type="noConversion"/>
  </si>
  <si>
    <t>*비지정후원금 : 50,000원 * 6회</t>
    <phoneticPr fontId="2" type="noConversion"/>
  </si>
  <si>
    <t>*시군구보조금(인건비): 81,200,250원 x 4분기</t>
    <phoneticPr fontId="2" type="noConversion"/>
  </si>
  <si>
    <t>자격수당 : 100,000원 x 6회 x 3명</t>
    <phoneticPr fontId="2" type="noConversion"/>
  </si>
  <si>
    <t>*직원연수: 500,000원 x 2회</t>
    <phoneticPr fontId="2" type="noConversion"/>
  </si>
  <si>
    <t>*자격수당 : 1,800,000원</t>
    <phoneticPr fontId="2" type="noConversion"/>
  </si>
  <si>
    <t>*기타잡수입(사회복지실습 外): 150,000원 x 3회</t>
    <phoneticPr fontId="2" type="noConversion"/>
  </si>
  <si>
    <t>*기타보조금(관리운영비): 16,012,000원</t>
    <phoneticPr fontId="2" type="noConversion"/>
  </si>
  <si>
    <t>*잡수입(직원식대): 275,000원 x 12월</t>
    <phoneticPr fontId="2" type="noConversion"/>
  </si>
  <si>
    <t xml:space="preserve">*차량관리비 및 수리비 : 200,000원 x 3대 x 4회 </t>
    <phoneticPr fontId="2" type="noConversion"/>
  </si>
  <si>
    <t>*김장비용 : 2,000,000원 x 1회</t>
    <phoneticPr fontId="2" type="noConversion"/>
  </si>
  <si>
    <t>*생계비: 2,400원 x 40명 x 205일</t>
    <phoneticPr fontId="2" type="noConversion"/>
  </si>
  <si>
    <t>*예비비: 155,510원 x 1회</t>
    <phoneticPr fontId="2" type="noConversion"/>
  </si>
  <si>
    <t>*치매예방체조 外: 50,000원 x 4회</t>
    <phoneticPr fontId="2" type="noConversion"/>
  </si>
  <si>
    <t>*차량보험료: 1,000,000원 x 3대</t>
    <phoneticPr fontId="2" type="noConversion"/>
  </si>
  <si>
    <t>*기타잡수입: 25,815원 x 1회</t>
    <phoneticPr fontId="2" type="noConversion"/>
  </si>
  <si>
    <t>*전산인지프로그램: 6,662,000원 x 1회</t>
    <phoneticPr fontId="2" type="noConversion"/>
  </si>
  <si>
    <t>*감각교실: 20,000원 x 1회</t>
    <phoneticPr fontId="2" type="noConversion"/>
  </si>
  <si>
    <t>*실비수입(일1만원): 10,000원 x 20명 x 205일</t>
    <phoneticPr fontId="2" type="noConversion"/>
  </si>
  <si>
    <t>*뷰티교실: 50,000원 x 2회</t>
    <phoneticPr fontId="2" type="noConversion"/>
  </si>
  <si>
    <t>*기억학교 종사자 워크샵 참가비: 500,000원 x 1회</t>
    <phoneticPr fontId="2" type="noConversion"/>
  </si>
  <si>
    <t>*회의비(직원회의, 운영위원회 등): 150,000원 x 4분기</t>
    <phoneticPr fontId="2" type="noConversion"/>
  </si>
  <si>
    <t>*기타세금 및 각종 협회비: 370,000원 x 4회</t>
    <phoneticPr fontId="2" type="noConversion"/>
  </si>
  <si>
    <t>2022. 11.</t>
    <phoneticPr fontId="2" type="noConversion"/>
  </si>
  <si>
    <t>*여비: 100,000원 x 4회</t>
    <phoneticPr fontId="2" type="noConversion"/>
  </si>
  <si>
    <t>*홍보출판비: 2,212,500원 x 4회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</si>
  <si>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418,296,000원</t>
    </r>
    <r>
      <rPr>
        <sz val="12"/>
        <rFont val="굴림"/>
        <family val="3"/>
        <charset val="129"/>
      </rPr>
      <t>으로한다.</t>
    </r>
    <phoneticPr fontId="2" type="noConversion"/>
  </si>
  <si>
    <t>*코로나19로 인한 입소비용수입 감액 조정</t>
    <phoneticPr fontId="2" type="noConversion"/>
  </si>
  <si>
    <t>*후원 개발에 따른 비지정 후원금 증액 조정</t>
    <phoneticPr fontId="2" type="noConversion"/>
  </si>
  <si>
    <t>*홍보를 위한 법인전입금 증액  조정</t>
    <phoneticPr fontId="2" type="noConversion"/>
  </si>
  <si>
    <t>제수당</t>
    <phoneticPr fontId="2" type="noConversion"/>
  </si>
  <si>
    <t>*생계비용 상승 및 김장으로 인한 증액 조정</t>
    <phoneticPr fontId="2" type="noConversion"/>
  </si>
  <si>
    <t>사업비</t>
    <phoneticPr fontId="2" type="noConversion"/>
  </si>
  <si>
    <t>*프로그램 일정 변경으로 인한 감액 조정</t>
    <phoneticPr fontId="2" type="noConversion"/>
  </si>
  <si>
    <t>*외부 프로그램 유치로 인한 감액 조정</t>
    <phoneticPr fontId="2" type="noConversion"/>
  </si>
  <si>
    <t>*코로나19로 나들이 일정 취소로 인한 감액 조정</t>
    <phoneticPr fontId="2" type="noConversion"/>
  </si>
  <si>
    <t>일반사업비</t>
    <phoneticPr fontId="2" type="noConversion"/>
  </si>
  <si>
    <t>*종사자 입퇴사에 따른 제수당 증액 조정</t>
    <phoneticPr fontId="2" type="noConversion"/>
  </si>
  <si>
    <t>*전기, 도시가스, 상하수도 절약으로 인한 공공요금 감액 조정</t>
    <phoneticPr fontId="2" type="noConversion"/>
  </si>
  <si>
    <t>*기억학교 협회비 절감으로 인한 제세공과금 감액 조정</t>
    <phoneticPr fontId="2" type="noConversion"/>
  </si>
  <si>
    <t>*기억학교 워크샵 참가비 납부 위한 직원연수교육비 증액</t>
    <phoneticPr fontId="2" type="noConversion"/>
  </si>
  <si>
    <t>`</t>
    <phoneticPr fontId="2" type="noConversion"/>
  </si>
  <si>
    <t xml:space="preserve"> </t>
    <phoneticPr fontId="2" type="noConversion"/>
  </si>
  <si>
    <t>*전산인지 프로그램 편성으로 인한 증액 조정(추가보조금)</t>
    <phoneticPr fontId="2" type="noConversion"/>
  </si>
  <si>
    <t>*이용자 유치를 위한 홍보출판사업비 증액(추가보조금)</t>
    <phoneticPr fontId="2" type="noConversion"/>
  </si>
  <si>
    <t>*단발성 추가보조금 지원에 따른 시군구보조금 증액 조정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</si>
</sst>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10" xfId="0" applyNumberFormat="1" applyFont="1" applyBorder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4" xfId="0" applyNumberFormat="1" applyFont="1" applyBorder="1">
      <alignment vertical="center"/>
    </xf>
    <xf numFmtId="3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12" fillId="0" borderId="21" xfId="0" applyNumberFormat="1" applyFont="1" applyBorder="1">
      <alignment vertical="center"/>
    </xf>
    <xf numFmtId="3" fontId="12" fillId="0" borderId="22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1" fillId="0" borderId="11" xfId="0" applyNumberFormat="1" applyFont="1" applyBorder="1">
      <alignment vertical="center"/>
    </xf>
    <xf numFmtId="0" fontId="12" fillId="0" borderId="28" xfId="0" applyFont="1" applyBorder="1" applyAlignment="1">
      <alignment horizontal="center" vertical="center"/>
    </xf>
    <xf numFmtId="3" fontId="12" fillId="0" borderId="29" xfId="0" applyNumberFormat="1" applyFont="1" applyBorder="1">
      <alignment vertical="center"/>
    </xf>
    <xf numFmtId="3" fontId="12" fillId="0" borderId="20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26" xfId="0" applyNumberFormat="1" applyFont="1" applyBorder="1">
      <alignment vertical="center"/>
    </xf>
    <xf numFmtId="0" fontId="3" fillId="0" borderId="0" xfId="0" applyFont="1">
      <alignment vertical="center"/>
    </xf>
    <xf numFmtId="0" fontId="11" fillId="0" borderId="32" xfId="0" applyFont="1" applyBorder="1" applyAlignment="1">
      <alignment horizontal="center" vertical="center"/>
    </xf>
    <xf numFmtId="3" fontId="11" fillId="0" borderId="29" xfId="1" applyNumberFormat="1" applyFont="1" applyBorder="1" applyAlignment="1">
      <alignment vertical="center"/>
    </xf>
    <xf numFmtId="3" fontId="12" fillId="0" borderId="20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3" fontId="11" fillId="0" borderId="20" xfId="0" applyNumberFormat="1" applyFont="1" applyBorder="1">
      <alignment vertical="center"/>
    </xf>
    <xf numFmtId="3" fontId="11" fillId="0" borderId="20" xfId="1" applyNumberFormat="1" applyFont="1" applyBorder="1" applyAlignment="1">
      <alignment vertical="center"/>
    </xf>
    <xf numFmtId="3" fontId="12" fillId="0" borderId="38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3" fontId="12" fillId="0" borderId="38" xfId="0" applyNumberFormat="1" applyFont="1" applyBorder="1">
      <alignment vertical="center"/>
    </xf>
    <xf numFmtId="3" fontId="12" fillId="0" borderId="37" xfId="0" applyNumberFormat="1" applyFont="1" applyBorder="1">
      <alignment vertical="center"/>
    </xf>
    <xf numFmtId="3" fontId="12" fillId="0" borderId="37" xfId="1" applyNumberFormat="1" applyFont="1" applyBorder="1" applyAlignment="1">
      <alignment vertical="center"/>
    </xf>
    <xf numFmtId="0" fontId="12" fillId="0" borderId="46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2" fillId="0" borderId="30" xfId="0" applyNumberFormat="1" applyFont="1" applyBorder="1">
      <alignment vertical="center"/>
    </xf>
    <xf numFmtId="3" fontId="12" fillId="0" borderId="15" xfId="0" applyNumberFormat="1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3" fontId="12" fillId="0" borderId="38" xfId="2" applyNumberFormat="1" applyFont="1" applyBorder="1">
      <alignment vertical="center"/>
    </xf>
    <xf numFmtId="0" fontId="12" fillId="0" borderId="38" xfId="2" applyFont="1" applyBorder="1">
      <alignment vertical="center"/>
    </xf>
    <xf numFmtId="0" fontId="12" fillId="0" borderId="37" xfId="2" applyFont="1" applyBorder="1">
      <alignment vertical="center"/>
    </xf>
    <xf numFmtId="0" fontId="12" fillId="0" borderId="0" xfId="2" applyFont="1">
      <alignment vertical="center"/>
    </xf>
    <xf numFmtId="3" fontId="12" fillId="0" borderId="0" xfId="2" applyNumberFormat="1" applyFont="1" applyAlignment="1">
      <alignment horizontal="right" vertical="center"/>
    </xf>
    <xf numFmtId="3" fontId="12" fillId="0" borderId="0" xfId="2" applyNumberFormat="1" applyFont="1">
      <alignment vertical="center"/>
    </xf>
    <xf numFmtId="3" fontId="11" fillId="0" borderId="29" xfId="2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2" fillId="0" borderId="0" xfId="2" applyFont="1" applyAlignment="1">
      <alignment horizontal="left" vertical="center" shrinkToFit="1"/>
    </xf>
    <xf numFmtId="3" fontId="12" fillId="0" borderId="0" xfId="2" quotePrefix="1" applyNumberFormat="1" applyFont="1" applyAlignment="1">
      <alignment horizontal="right" vertical="center"/>
    </xf>
    <xf numFmtId="41" fontId="11" fillId="0" borderId="32" xfId="0" applyNumberFormat="1" applyFont="1" applyBorder="1" applyAlignment="1">
      <alignment horizontal="center" vertical="center"/>
    </xf>
    <xf numFmtId="43" fontId="19" fillId="0" borderId="39" xfId="7" applyNumberFormat="1" applyFont="1" applyFill="1" applyBorder="1" applyAlignment="1">
      <alignment horizontal="right" vertical="center"/>
    </xf>
    <xf numFmtId="43" fontId="20" fillId="0" borderId="39" xfId="7" applyNumberFormat="1" applyFont="1" applyFill="1" applyBorder="1" applyAlignment="1">
      <alignment horizontal="right" vertical="center"/>
    </xf>
    <xf numFmtId="43" fontId="20" fillId="0" borderId="20" xfId="7" applyNumberFormat="1" applyFont="1" applyFill="1" applyBorder="1" applyAlignment="1">
      <alignment horizontal="right" vertical="center"/>
    </xf>
    <xf numFmtId="43" fontId="20" fillId="0" borderId="36" xfId="7" applyNumberFormat="1" applyFont="1" applyFill="1" applyBorder="1" applyAlignment="1">
      <alignment horizontal="right" vertical="center"/>
    </xf>
    <xf numFmtId="43" fontId="20" fillId="0" borderId="38" xfId="7" applyNumberFormat="1" applyFont="1" applyFill="1" applyBorder="1" applyAlignment="1">
      <alignment horizontal="right" vertical="center"/>
    </xf>
    <xf numFmtId="43" fontId="20" fillId="0" borderId="48" xfId="7" applyNumberFormat="1" applyFont="1" applyFill="1" applyBorder="1" applyAlignment="1">
      <alignment horizontal="right" vertical="center"/>
    </xf>
    <xf numFmtId="43" fontId="20" fillId="0" borderId="37" xfId="7" applyNumberFormat="1" applyFont="1" applyFill="1" applyBorder="1" applyAlignment="1">
      <alignment horizontal="right" vertical="center"/>
    </xf>
    <xf numFmtId="3" fontId="3" fillId="0" borderId="0" xfId="0" applyNumberFormat="1" applyFont="1">
      <alignment vertical="center"/>
    </xf>
    <xf numFmtId="0" fontId="15" fillId="0" borderId="0" xfId="0" applyFont="1" applyAlignment="1">
      <alignment vertical="center" shrinkToFit="1"/>
    </xf>
    <xf numFmtId="43" fontId="20" fillId="0" borderId="46" xfId="7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43" fontId="19" fillId="0" borderId="14" xfId="7" applyNumberFormat="1" applyFont="1" applyFill="1" applyBorder="1" applyAlignment="1">
      <alignment horizontal="right"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2" fillId="0" borderId="46" xfId="0" applyNumberFormat="1" applyFont="1" applyBorder="1">
      <alignment vertical="center"/>
    </xf>
    <xf numFmtId="43" fontId="20" fillId="0" borderId="29" xfId="7" applyNumberFormat="1" applyFont="1" applyFill="1" applyBorder="1" applyAlignment="1">
      <alignment horizontal="right" vertical="center"/>
    </xf>
    <xf numFmtId="0" fontId="12" fillId="0" borderId="29" xfId="2" applyFont="1" applyBorder="1">
      <alignment vertical="center"/>
    </xf>
    <xf numFmtId="0" fontId="12" fillId="0" borderId="47" xfId="2" applyFont="1" applyBorder="1">
      <alignment vertical="center"/>
    </xf>
    <xf numFmtId="0" fontId="12" fillId="0" borderId="42" xfId="2" applyFont="1" applyBorder="1" applyAlignment="1">
      <alignment horizontal="left" vertical="center"/>
    </xf>
    <xf numFmtId="3" fontId="12" fillId="0" borderId="42" xfId="2" applyNumberFormat="1" applyFont="1" applyBorder="1" applyAlignment="1">
      <alignment horizontal="right" vertical="center"/>
    </xf>
    <xf numFmtId="3" fontId="12" fillId="0" borderId="42" xfId="2" applyNumberFormat="1" applyFont="1" applyBorder="1">
      <alignment vertical="center"/>
    </xf>
    <xf numFmtId="3" fontId="3" fillId="0" borderId="0" xfId="2" applyNumberFormat="1" applyFont="1">
      <alignment vertical="center"/>
    </xf>
    <xf numFmtId="3" fontId="11" fillId="0" borderId="32" xfId="0" applyNumberFormat="1" applyFont="1" applyBorder="1" applyAlignment="1">
      <alignment horizontal="center" vertical="center"/>
    </xf>
    <xf numFmtId="41" fontId="12" fillId="0" borderId="0" xfId="1" applyFont="1">
      <alignment vertical="center"/>
    </xf>
    <xf numFmtId="41" fontId="12" fillId="0" borderId="52" xfId="1" applyFont="1" applyBorder="1">
      <alignment vertical="center"/>
    </xf>
    <xf numFmtId="3" fontId="11" fillId="0" borderId="10" xfId="1" applyNumberFormat="1" applyFont="1" applyBorder="1" applyAlignment="1">
      <alignment horizontal="right" vertical="center"/>
    </xf>
    <xf numFmtId="0" fontId="12" fillId="0" borderId="62" xfId="2" applyFont="1" applyBorder="1" applyAlignment="1">
      <alignment horizontal="center" vertical="center"/>
    </xf>
    <xf numFmtId="3" fontId="12" fillId="0" borderId="62" xfId="2" applyNumberFormat="1" applyFont="1" applyBorder="1" applyAlignment="1">
      <alignment horizontal="center" vertical="center" wrapText="1"/>
    </xf>
    <xf numFmtId="41" fontId="12" fillId="0" borderId="56" xfId="1" applyFont="1" applyBorder="1">
      <alignment vertical="center"/>
    </xf>
    <xf numFmtId="41" fontId="12" fillId="0" borderId="59" xfId="1" applyFont="1" applyBorder="1">
      <alignment vertical="center"/>
    </xf>
    <xf numFmtId="41" fontId="12" fillId="0" borderId="54" xfId="1" applyFont="1" applyBorder="1">
      <alignment vertical="center"/>
    </xf>
    <xf numFmtId="41" fontId="3" fillId="0" borderId="0" xfId="1" applyFont="1">
      <alignment vertical="center"/>
    </xf>
    <xf numFmtId="0" fontId="13" fillId="0" borderId="0" xfId="2" applyFont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3" fontId="21" fillId="0" borderId="0" xfId="0" applyNumberFormat="1" applyFont="1" applyAlignment="1">
      <alignment horizontal="right" vertical="center"/>
    </xf>
    <xf numFmtId="0" fontId="12" fillId="0" borderId="47" xfId="0" applyFont="1" applyBorder="1" applyAlignment="1">
      <alignment horizontal="left" vertical="center"/>
    </xf>
    <xf numFmtId="43" fontId="20" fillId="0" borderId="41" xfId="7" applyNumberFormat="1" applyFont="1" applyFill="1" applyBorder="1" applyAlignment="1">
      <alignment horizontal="right" vertical="center"/>
    </xf>
    <xf numFmtId="0" fontId="12" fillId="0" borderId="64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43" fontId="20" fillId="0" borderId="47" xfId="7" applyNumberFormat="1" applyFont="1" applyFill="1" applyBorder="1" applyAlignment="1">
      <alignment horizontal="right" vertical="center"/>
    </xf>
    <xf numFmtId="41" fontId="12" fillId="0" borderId="20" xfId="1" applyFont="1" applyBorder="1">
      <alignment vertical="center"/>
    </xf>
    <xf numFmtId="0" fontId="12" fillId="0" borderId="29" xfId="2" applyFont="1" applyBorder="1" applyAlignment="1">
      <alignment horizontal="left" vertical="center"/>
    </xf>
    <xf numFmtId="3" fontId="12" fillId="0" borderId="20" xfId="2" applyNumberFormat="1" applyFont="1" applyBorder="1">
      <alignment vertical="center"/>
    </xf>
    <xf numFmtId="41" fontId="6" fillId="0" borderId="65" xfId="0" applyNumberFormat="1" applyFont="1" applyBorder="1">
      <alignment vertical="center"/>
    </xf>
    <xf numFmtId="3" fontId="12" fillId="0" borderId="47" xfId="1" applyNumberFormat="1" applyFont="1" applyBorder="1" applyAlignment="1">
      <alignment vertical="center"/>
    </xf>
    <xf numFmtId="3" fontId="13" fillId="0" borderId="56" xfId="2" applyNumberFormat="1" applyFont="1" applyBorder="1" applyAlignment="1">
      <alignment horizontal="center" vertical="center"/>
    </xf>
    <xf numFmtId="3" fontId="12" fillId="0" borderId="59" xfId="2" applyNumberFormat="1" applyFont="1" applyBorder="1" applyAlignment="1">
      <alignment horizontal="right" vertical="center"/>
    </xf>
    <xf numFmtId="0" fontId="12" fillId="0" borderId="67" xfId="2" applyFont="1" applyBorder="1" applyAlignment="1">
      <alignment horizontal="center" vertical="center"/>
    </xf>
    <xf numFmtId="3" fontId="12" fillId="0" borderId="68" xfId="2" applyNumberFormat="1" applyFont="1" applyBorder="1" applyAlignment="1">
      <alignment horizontal="center" vertical="center"/>
    </xf>
    <xf numFmtId="3" fontId="11" fillId="0" borderId="51" xfId="2" applyNumberFormat="1" applyFont="1" applyBorder="1" applyAlignment="1">
      <alignment horizontal="right" vertical="center"/>
    </xf>
    <xf numFmtId="0" fontId="12" fillId="0" borderId="12" xfId="2" applyFont="1" applyBorder="1" applyAlignment="1">
      <alignment vertical="center" shrinkToFit="1"/>
    </xf>
    <xf numFmtId="3" fontId="12" fillId="0" borderId="51" xfId="2" applyNumberFormat="1" applyFont="1" applyBorder="1" applyAlignment="1">
      <alignment horizontal="right" vertical="center"/>
    </xf>
    <xf numFmtId="0" fontId="12" fillId="0" borderId="17" xfId="2" applyFont="1" applyBorder="1" applyAlignment="1">
      <alignment vertical="center" shrinkToFit="1"/>
    </xf>
    <xf numFmtId="0" fontId="12" fillId="0" borderId="16" xfId="2" applyFont="1" applyBorder="1" applyAlignment="1">
      <alignment vertical="center" shrinkToFit="1"/>
    </xf>
    <xf numFmtId="3" fontId="12" fillId="0" borderId="52" xfId="2" applyNumberFormat="1" applyFont="1" applyBorder="1" applyAlignment="1">
      <alignment horizontal="right" vertical="center"/>
    </xf>
    <xf numFmtId="0" fontId="12" fillId="0" borderId="63" xfId="2" applyFont="1" applyBorder="1" applyAlignment="1">
      <alignment vertical="center" shrinkToFit="1"/>
    </xf>
    <xf numFmtId="0" fontId="12" fillId="0" borderId="45" xfId="2" applyFont="1" applyBorder="1">
      <alignment vertical="center"/>
    </xf>
    <xf numFmtId="3" fontId="12" fillId="0" borderId="56" xfId="2" applyNumberFormat="1" applyFont="1" applyBorder="1" applyAlignment="1">
      <alignment horizontal="right" vertical="center"/>
    </xf>
    <xf numFmtId="0" fontId="12" fillId="0" borderId="12" xfId="2" applyFont="1" applyBorder="1">
      <alignment vertical="center"/>
    </xf>
    <xf numFmtId="3" fontId="12" fillId="0" borderId="15" xfId="2" applyNumberFormat="1" applyFont="1" applyBorder="1" applyAlignment="1">
      <alignment horizontal="right" vertical="center"/>
    </xf>
    <xf numFmtId="0" fontId="12" fillId="0" borderId="16" xfId="2" applyFont="1" applyBorder="1">
      <alignment vertical="center"/>
    </xf>
    <xf numFmtId="3" fontId="12" fillId="0" borderId="30" xfId="2" applyNumberFormat="1" applyFont="1" applyBorder="1" applyAlignment="1">
      <alignment horizontal="right" vertical="center"/>
    </xf>
    <xf numFmtId="3" fontId="12" fillId="0" borderId="54" xfId="2" quotePrefix="1" applyNumberFormat="1" applyFont="1" applyBorder="1" applyAlignment="1">
      <alignment horizontal="right" vertical="center"/>
    </xf>
    <xf numFmtId="0" fontId="12" fillId="0" borderId="17" xfId="2" applyFont="1" applyBorder="1">
      <alignment vertical="center"/>
    </xf>
    <xf numFmtId="3" fontId="12" fillId="0" borderId="15" xfId="2" quotePrefix="1" applyNumberFormat="1" applyFont="1" applyBorder="1" applyAlignment="1">
      <alignment horizontal="right" vertical="center"/>
    </xf>
    <xf numFmtId="41" fontId="12" fillId="0" borderId="20" xfId="1" applyFont="1" applyBorder="1" applyAlignment="1">
      <alignment horizontal="right" vertical="center"/>
    </xf>
    <xf numFmtId="3" fontId="0" fillId="0" borderId="0" xfId="0" applyNumberFormat="1">
      <alignment vertical="center"/>
    </xf>
    <xf numFmtId="3" fontId="12" fillId="0" borderId="44" xfId="2" applyNumberFormat="1" applyFont="1" applyBorder="1" applyAlignment="1">
      <alignment horizontal="left" vertical="center"/>
    </xf>
    <xf numFmtId="43" fontId="3" fillId="0" borderId="0" xfId="1" applyNumberFormat="1" applyFont="1">
      <alignment vertical="center"/>
    </xf>
    <xf numFmtId="3" fontId="12" fillId="0" borderId="54" xfId="2" applyNumberFormat="1" applyFont="1" applyBorder="1" applyAlignment="1">
      <alignment horizontal="right" vertical="center"/>
    </xf>
    <xf numFmtId="3" fontId="12" fillId="0" borderId="39" xfId="2" applyNumberFormat="1" applyFont="1" applyBorder="1" applyAlignment="1">
      <alignment horizontal="left" vertical="center"/>
    </xf>
    <xf numFmtId="3" fontId="12" fillId="0" borderId="51" xfId="2" applyNumberFormat="1" applyFont="1" applyBorder="1" applyAlignment="1">
      <alignment horizontal="left" vertical="center"/>
    </xf>
    <xf numFmtId="3" fontId="12" fillId="0" borderId="39" xfId="2" applyNumberFormat="1" applyFont="1" applyBorder="1" applyAlignment="1">
      <alignment horizontal="right" vertical="center"/>
    </xf>
    <xf numFmtId="3" fontId="12" fillId="0" borderId="21" xfId="2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43" fontId="19" fillId="0" borderId="20" xfId="7" applyNumberFormat="1" applyFont="1" applyFill="1" applyBorder="1" applyAlignment="1">
      <alignment horizontal="right" vertical="center"/>
    </xf>
    <xf numFmtId="43" fontId="20" fillId="0" borderId="14" xfId="7" applyNumberFormat="1" applyFont="1" applyFill="1" applyBorder="1" applyAlignment="1">
      <alignment horizontal="right" vertical="center"/>
    </xf>
    <xf numFmtId="3" fontId="21" fillId="0" borderId="0" xfId="1" applyNumberFormat="1" applyFont="1" applyBorder="1" applyAlignment="1">
      <alignment horizontal="right" vertical="center"/>
    </xf>
    <xf numFmtId="41" fontId="12" fillId="0" borderId="9" xfId="1" applyFont="1" applyBorder="1">
      <alignment vertical="center"/>
    </xf>
    <xf numFmtId="41" fontId="12" fillId="0" borderId="13" xfId="1" applyFont="1" applyBorder="1">
      <alignment vertical="center"/>
    </xf>
    <xf numFmtId="41" fontId="12" fillId="0" borderId="36" xfId="1" applyFont="1" applyBorder="1">
      <alignment vertical="center"/>
    </xf>
    <xf numFmtId="41" fontId="12" fillId="0" borderId="48" xfId="1" applyFont="1" applyBorder="1">
      <alignment vertical="center"/>
    </xf>
    <xf numFmtId="41" fontId="12" fillId="0" borderId="28" xfId="1" applyFont="1" applyBorder="1">
      <alignment vertical="center"/>
    </xf>
    <xf numFmtId="0" fontId="12" fillId="0" borderId="39" xfId="0" applyFont="1" applyBorder="1" applyAlignment="1">
      <alignment horizontal="center" vertical="center"/>
    </xf>
    <xf numFmtId="3" fontId="12" fillId="0" borderId="39" xfId="0" applyNumberFormat="1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12" fillId="0" borderId="0" xfId="1" applyFont="1" applyFill="1">
      <alignment vertical="center"/>
    </xf>
    <xf numFmtId="41" fontId="3" fillId="0" borderId="0" xfId="1" applyFont="1" applyFill="1">
      <alignment vertical="center"/>
    </xf>
    <xf numFmtId="3" fontId="11" fillId="0" borderId="10" xfId="1" applyNumberFormat="1" applyFont="1" applyFill="1" applyBorder="1" applyAlignment="1">
      <alignment horizontal="right" vertical="center"/>
    </xf>
    <xf numFmtId="41" fontId="12" fillId="0" borderId="56" xfId="1" applyFont="1" applyFill="1" applyBorder="1">
      <alignment vertical="center"/>
    </xf>
    <xf numFmtId="0" fontId="12" fillId="0" borderId="44" xfId="0" applyFont="1" applyBorder="1" applyAlignment="1">
      <alignment horizontal="left" vertical="center"/>
    </xf>
    <xf numFmtId="3" fontId="11" fillId="0" borderId="20" xfId="1" applyNumberFormat="1" applyFont="1" applyFill="1" applyBorder="1" applyAlignment="1">
      <alignment horizontal="right" vertical="center"/>
    </xf>
    <xf numFmtId="41" fontId="12" fillId="0" borderId="52" xfId="1" applyFont="1" applyFill="1" applyBorder="1">
      <alignment vertical="center"/>
    </xf>
    <xf numFmtId="43" fontId="3" fillId="0" borderId="0" xfId="0" applyNumberFormat="1" applyFont="1">
      <alignment vertical="center"/>
    </xf>
    <xf numFmtId="3" fontId="12" fillId="0" borderId="20" xfId="1" applyNumberFormat="1" applyFont="1" applyFill="1" applyBorder="1" applyAlignment="1">
      <alignment horizontal="right" vertical="center"/>
    </xf>
    <xf numFmtId="3" fontId="12" fillId="0" borderId="38" xfId="1" applyNumberFormat="1" applyFont="1" applyFill="1" applyBorder="1" applyAlignment="1">
      <alignment horizontal="right" vertical="center"/>
    </xf>
    <xf numFmtId="41" fontId="11" fillId="0" borderId="56" xfId="1" applyFont="1" applyFill="1" applyBorder="1">
      <alignment vertical="center"/>
    </xf>
    <xf numFmtId="3" fontId="12" fillId="0" borderId="37" xfId="1" applyNumberFormat="1" applyFont="1" applyFill="1" applyBorder="1" applyAlignment="1">
      <alignment horizontal="right" vertical="center"/>
    </xf>
    <xf numFmtId="3" fontId="11" fillId="0" borderId="37" xfId="1" applyNumberFormat="1" applyFont="1" applyFill="1" applyBorder="1" applyAlignment="1">
      <alignment horizontal="right" vertical="center"/>
    </xf>
    <xf numFmtId="41" fontId="12" fillId="0" borderId="37" xfId="1" applyFont="1" applyFill="1" applyBorder="1" applyAlignment="1">
      <alignment horizontal="right" vertical="center"/>
    </xf>
    <xf numFmtId="41" fontId="12" fillId="0" borderId="48" xfId="1" applyFont="1" applyFill="1" applyBorder="1" applyAlignment="1">
      <alignment horizontal="right" vertical="center"/>
    </xf>
    <xf numFmtId="3" fontId="12" fillId="0" borderId="47" xfId="1" applyNumberFormat="1" applyFont="1" applyFill="1" applyBorder="1" applyAlignment="1">
      <alignment horizontal="right" vertical="center"/>
    </xf>
    <xf numFmtId="3" fontId="11" fillId="0" borderId="47" xfId="1" applyNumberFormat="1" applyFont="1" applyFill="1" applyBorder="1" applyAlignment="1">
      <alignment horizontal="right" vertical="center"/>
    </xf>
    <xf numFmtId="41" fontId="12" fillId="0" borderId="47" xfId="1" applyFont="1" applyFill="1" applyBorder="1" applyAlignment="1">
      <alignment horizontal="right" vertical="center"/>
    </xf>
    <xf numFmtId="41" fontId="12" fillId="0" borderId="59" xfId="1" applyFont="1" applyFill="1" applyBorder="1">
      <alignment vertical="center"/>
    </xf>
    <xf numFmtId="0" fontId="12" fillId="0" borderId="16" xfId="0" applyFont="1" applyBorder="1" applyAlignment="1">
      <alignment horizontal="left" vertical="center"/>
    </xf>
    <xf numFmtId="41" fontId="12" fillId="0" borderId="46" xfId="1" applyFont="1" applyFill="1" applyBorder="1" applyAlignment="1">
      <alignment horizontal="right" vertical="center"/>
    </xf>
    <xf numFmtId="41" fontId="12" fillId="0" borderId="29" xfId="1" applyFont="1" applyFill="1" applyBorder="1" applyAlignment="1">
      <alignment horizontal="right" vertical="center"/>
    </xf>
    <xf numFmtId="41" fontId="12" fillId="0" borderId="51" xfId="1" applyFont="1" applyFill="1" applyBorder="1">
      <alignment vertical="center"/>
    </xf>
    <xf numFmtId="0" fontId="12" fillId="0" borderId="38" xfId="0" applyFont="1" applyBorder="1" applyAlignment="1">
      <alignment horizontal="left" vertical="center" shrinkToFit="1"/>
    </xf>
    <xf numFmtId="41" fontId="12" fillId="0" borderId="54" xfId="1" applyFont="1" applyFill="1" applyBorder="1">
      <alignment vertical="center"/>
    </xf>
    <xf numFmtId="0" fontId="12" fillId="0" borderId="61" xfId="0" applyFont="1" applyBorder="1" applyAlignment="1">
      <alignment horizontal="lef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11" fillId="0" borderId="29" xfId="1" applyNumberFormat="1" applyFont="1" applyFill="1" applyBorder="1" applyAlignment="1">
      <alignment horizontal="right" vertical="center"/>
    </xf>
    <xf numFmtId="0" fontId="12" fillId="0" borderId="39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3" fillId="0" borderId="44" xfId="0" applyFont="1" applyBorder="1">
      <alignment vertical="center"/>
    </xf>
    <xf numFmtId="41" fontId="3" fillId="0" borderId="44" xfId="1" applyFont="1" applyFill="1" applyBorder="1">
      <alignment vertical="center"/>
    </xf>
    <xf numFmtId="41" fontId="11" fillId="0" borderId="51" xfId="1" applyFont="1" applyFill="1" applyBorder="1">
      <alignment vertical="center"/>
    </xf>
    <xf numFmtId="0" fontId="12" fillId="0" borderId="45" xfId="0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/>
    </xf>
    <xf numFmtId="3" fontId="12" fillId="0" borderId="13" xfId="1" applyNumberFormat="1" applyFont="1" applyFill="1" applyBorder="1" applyAlignment="1">
      <alignment horizontal="right" vertical="center"/>
    </xf>
    <xf numFmtId="0" fontId="12" fillId="0" borderId="70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 shrinkToFit="1"/>
    </xf>
    <xf numFmtId="3" fontId="11" fillId="0" borderId="13" xfId="1" applyNumberFormat="1" applyFont="1" applyFill="1" applyBorder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3" fontId="12" fillId="0" borderId="54" xfId="0" applyNumberFormat="1" applyFont="1" applyBorder="1" applyAlignment="1">
      <alignment vertical="center" shrinkToFit="1"/>
    </xf>
    <xf numFmtId="0" fontId="12" fillId="0" borderId="48" xfId="0" applyFont="1" applyBorder="1" applyAlignment="1">
      <alignment horizontal="left" vertical="center"/>
    </xf>
    <xf numFmtId="3" fontId="12" fillId="0" borderId="39" xfId="0" applyNumberFormat="1" applyFont="1" applyBorder="1" applyAlignment="1">
      <alignment vertical="center" wrapText="1"/>
    </xf>
    <xf numFmtId="3" fontId="12" fillId="0" borderId="14" xfId="0" applyNumberFormat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46" xfId="0" applyFont="1" applyBorder="1" applyAlignment="1">
      <alignment vertical="center" shrinkToFit="1"/>
    </xf>
    <xf numFmtId="0" fontId="12" fillId="0" borderId="41" xfId="0" applyFont="1" applyBorder="1" applyAlignment="1">
      <alignment vertical="center" shrinkToFit="1"/>
    </xf>
    <xf numFmtId="49" fontId="12" fillId="0" borderId="46" xfId="0" applyNumberFormat="1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39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3" fontId="12" fillId="0" borderId="21" xfId="0" applyNumberFormat="1" applyFont="1" applyBorder="1" applyAlignment="1">
      <alignment vertical="center" shrinkToFit="1"/>
    </xf>
    <xf numFmtId="3" fontId="12" fillId="0" borderId="46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46" xfId="0" applyFont="1" applyBorder="1" applyAlignment="1">
      <alignment vertical="center" wrapText="1"/>
    </xf>
    <xf numFmtId="3" fontId="12" fillId="0" borderId="39" xfId="0" applyNumberFormat="1" applyFont="1" applyBorder="1" applyAlignment="1">
      <alignment vertical="center" shrinkToFit="1"/>
    </xf>
    <xf numFmtId="41" fontId="13" fillId="0" borderId="0" xfId="1" applyFont="1" applyFill="1" applyAlignment="1">
      <alignment horizontal="left" vertical="center"/>
    </xf>
    <xf numFmtId="0" fontId="12" fillId="0" borderId="42" xfId="0" applyFont="1" applyBorder="1" applyAlignment="1">
      <alignment vertical="center" wrapText="1" shrinkToFit="1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3" fontId="12" fillId="0" borderId="42" xfId="2" applyNumberFormat="1" applyFont="1" applyBorder="1" applyAlignment="1">
      <alignment horizontal="left" vertical="center"/>
    </xf>
    <xf numFmtId="0" fontId="18" fillId="0" borderId="0" xfId="5">
      <alignment vertical="center"/>
    </xf>
    <xf numFmtId="0" fontId="12" fillId="0" borderId="63" xfId="2" applyFont="1" applyBorder="1">
      <alignment vertical="center"/>
    </xf>
    <xf numFmtId="0" fontId="12" fillId="0" borderId="47" xfId="2" applyFont="1" applyBorder="1" applyAlignment="1">
      <alignment horizontal="left" vertical="center"/>
    </xf>
    <xf numFmtId="3" fontId="12" fillId="0" borderId="41" xfId="2" applyNumberFormat="1" applyFont="1" applyBorder="1" applyAlignment="1">
      <alignment horizontal="left" vertical="center"/>
    </xf>
    <xf numFmtId="3" fontId="12" fillId="0" borderId="59" xfId="2" applyNumberFormat="1" applyFont="1" applyBorder="1" applyAlignment="1">
      <alignment horizontal="left" vertical="center"/>
    </xf>
    <xf numFmtId="3" fontId="3" fillId="0" borderId="0" xfId="0" applyNumberFormat="1" applyFont="1" applyFill="1">
      <alignment vertical="center"/>
    </xf>
    <xf numFmtId="0" fontId="12" fillId="0" borderId="46" xfId="0" applyFont="1" applyBorder="1">
      <alignment vertical="center"/>
    </xf>
    <xf numFmtId="0" fontId="12" fillId="0" borderId="41" xfId="0" applyFont="1" applyBorder="1" applyAlignment="1">
      <alignment vertical="center" wrapText="1"/>
    </xf>
    <xf numFmtId="49" fontId="12" fillId="0" borderId="41" xfId="0" applyNumberFormat="1" applyFont="1" applyBorder="1" applyAlignment="1">
      <alignment vertical="center" shrinkToFit="1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0" xfId="0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11" fillId="0" borderId="57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2" fillId="0" borderId="6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58" xfId="0" applyBorder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2" xfId="0" applyFont="1" applyBorder="1" applyAlignment="1">
      <alignment horizontal="right" vertical="center"/>
    </xf>
    <xf numFmtId="0" fontId="0" fillId="0" borderId="42" xfId="0" applyBorder="1">
      <alignment vertical="center"/>
    </xf>
    <xf numFmtId="0" fontId="11" fillId="0" borderId="42" xfId="0" applyFont="1" applyBorder="1" applyAlignment="1">
      <alignment horizontal="left" vertical="center"/>
    </xf>
    <xf numFmtId="3" fontId="11" fillId="0" borderId="31" xfId="0" applyNumberFormat="1" applyFont="1" applyBorder="1" applyAlignment="1">
      <alignment horizontal="center" vertical="center" wrapText="1"/>
    </xf>
    <xf numFmtId="3" fontId="11" fillId="0" borderId="31" xfId="0" applyNumberFormat="1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horizontal="center" vertical="center"/>
    </xf>
    <xf numFmtId="3" fontId="12" fillId="0" borderId="14" xfId="2" applyNumberFormat="1" applyFont="1" applyBorder="1" applyAlignment="1">
      <alignment horizontal="left" vertical="center"/>
    </xf>
    <xf numFmtId="3" fontId="12" fillId="0" borderId="40" xfId="2" applyNumberFormat="1" applyFont="1" applyBorder="1" applyAlignment="1">
      <alignment horizontal="left" vertical="center"/>
    </xf>
    <xf numFmtId="3" fontId="12" fillId="0" borderId="52" xfId="2" applyNumberFormat="1" applyFont="1" applyBorder="1" applyAlignment="1">
      <alignment horizontal="left" vertical="center"/>
    </xf>
    <xf numFmtId="0" fontId="13" fillId="0" borderId="66" xfId="2" applyFont="1" applyBorder="1" applyAlignment="1">
      <alignment horizontal="center" vertical="center"/>
    </xf>
    <xf numFmtId="0" fontId="13" fillId="0" borderId="6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3" fontId="12" fillId="0" borderId="35" xfId="2" applyNumberFormat="1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3" fontId="12" fillId="0" borderId="49" xfId="2" applyNumberFormat="1" applyFont="1" applyBorder="1" applyAlignment="1">
      <alignment horizontal="left" vertical="center"/>
    </xf>
    <xf numFmtId="3" fontId="12" fillId="0" borderId="42" xfId="2" applyNumberFormat="1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/>
    <cellStyle name="쉼표 [0] 3" xfId="4"/>
    <cellStyle name="표준" xfId="0" builtinId="0"/>
    <cellStyle name="표준 2" xfId="2"/>
    <cellStyle name="표준 3" xfId="5"/>
    <cellStyle name="표준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277;&#51064;/&#52280;&#51339;&#51008;&#44592;&#50613;&#54617;&#44368;/2018&#45380;/1&#52264;&#52628;&#44221;/&#48148;&#53461;&#54868;&#47732;/&#52280;&#51339;&#51008;&#44592;&#50613;&#54617;&#44368;)%2017&#45380;%202&#52264;%20&#52628;&#44221;%20&#48143;%2018&#45380;%20&#49324;&#50629;&#44228;&#54925;/&#52280;&#51339;&#51008;&#44592;&#50613;&#54617;&#44368;)%202018&#45380;&#46020;%20&#48376;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입소자부담금수입</v>
          </cell>
        </row>
        <row r="8">
          <cell r="C8" t="str">
            <v>입소비용수입</v>
          </cell>
        </row>
        <row r="9">
          <cell r="D9" t="str">
            <v>입소비용수입</v>
          </cell>
        </row>
      </sheetData>
      <sheetData sheetId="4" refreshError="1">
        <row r="8">
          <cell r="B8" t="str">
            <v>사무비</v>
          </cell>
        </row>
        <row r="9">
          <cell r="C9" t="str">
            <v>인건비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view="pageBreakPreview" zoomScale="60" zoomScaleNormal="100" workbookViewId="0"/>
  </sheetViews>
  <sheetFormatPr defaultRowHeight="13.5" x14ac:dyDescent="0.15"/>
  <cols>
    <col min="1" max="1" width="121.44140625" style="38" customWidth="1"/>
    <col min="2" max="16384" width="8.88671875" style="38"/>
  </cols>
  <sheetData>
    <row r="1" spans="1:1" ht="84.75" customHeight="1" x14ac:dyDescent="0.15">
      <c r="A1" s="242"/>
    </row>
    <row r="2" spans="1:1" ht="30" customHeight="1" x14ac:dyDescent="0.15">
      <c r="A2" s="48" t="s">
        <v>140</v>
      </c>
    </row>
    <row r="3" spans="1:1" ht="30" customHeight="1" x14ac:dyDescent="0.4">
      <c r="A3" s="49" t="s">
        <v>202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11" t="s">
        <v>249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73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79.6640625" style="38" customWidth="1"/>
    <col min="2" max="16384" width="8.88671875" style="38"/>
  </cols>
  <sheetData>
    <row r="1" spans="1:1" ht="30" customHeight="1" x14ac:dyDescent="0.3">
      <c r="A1" s="50" t="s">
        <v>11</v>
      </c>
    </row>
    <row r="2" spans="1:1" ht="30" customHeight="1" x14ac:dyDescent="0.15">
      <c r="A2" s="51"/>
    </row>
    <row r="3" spans="1:1" ht="30" customHeight="1" x14ac:dyDescent="0.15">
      <c r="A3" s="52" t="s">
        <v>203</v>
      </c>
    </row>
    <row r="4" spans="1:1" ht="30" customHeight="1" x14ac:dyDescent="0.15">
      <c r="A4" s="52"/>
    </row>
    <row r="5" spans="1:1" ht="30" customHeight="1" x14ac:dyDescent="0.15">
      <c r="A5" s="52" t="s">
        <v>252</v>
      </c>
    </row>
    <row r="6" spans="1:1" ht="30" customHeight="1" x14ac:dyDescent="0.15">
      <c r="A6" s="52"/>
    </row>
    <row r="7" spans="1:1" ht="30" customHeight="1" x14ac:dyDescent="0.15">
      <c r="A7" s="52" t="s">
        <v>139</v>
      </c>
    </row>
    <row r="8" spans="1:1" ht="30" customHeight="1" x14ac:dyDescent="0.15">
      <c r="A8" s="52"/>
    </row>
    <row r="9" spans="1:1" ht="30" customHeight="1" x14ac:dyDescent="0.15">
      <c r="A9" s="89" t="s">
        <v>100</v>
      </c>
    </row>
    <row r="10" spans="1:1" ht="30" customHeight="1" x14ac:dyDescent="0.15">
      <c r="A10" s="52"/>
    </row>
    <row r="11" spans="1:1" ht="30" customHeight="1" x14ac:dyDescent="0.15">
      <c r="A11" s="51" t="s">
        <v>107</v>
      </c>
    </row>
    <row r="12" spans="1:1" ht="30" customHeight="1" x14ac:dyDescent="0.15">
      <c r="A12" s="51" t="s">
        <v>108</v>
      </c>
    </row>
    <row r="13" spans="1:1" ht="30" customHeight="1" x14ac:dyDescent="0.15">
      <c r="A13" s="51"/>
    </row>
    <row r="14" spans="1:1" ht="30" customHeight="1" x14ac:dyDescent="0.15">
      <c r="A14" s="51" t="s">
        <v>97</v>
      </c>
    </row>
    <row r="15" spans="1:1" ht="30" customHeight="1" x14ac:dyDescent="0.15">
      <c r="A15" s="51" t="s">
        <v>101</v>
      </c>
    </row>
    <row r="16" spans="1:1" ht="30" customHeight="1" x14ac:dyDescent="0.15">
      <c r="A16" s="51"/>
    </row>
    <row r="17" spans="1:1" ht="30" customHeight="1" x14ac:dyDescent="0.15">
      <c r="A17" s="51" t="s">
        <v>109</v>
      </c>
    </row>
    <row r="18" spans="1:1" ht="30" customHeight="1" x14ac:dyDescent="0.15">
      <c r="A18" s="51" t="s">
        <v>98</v>
      </c>
    </row>
    <row r="19" spans="1:1" ht="14.25" x14ac:dyDescent="0.15">
      <c r="A19" s="51"/>
    </row>
    <row r="20" spans="1:1" ht="14.25" x14ac:dyDescent="0.15">
      <c r="A20" s="51"/>
    </row>
    <row r="21" spans="1:1" ht="20.25" x14ac:dyDescent="0.25">
      <c r="A21" s="53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>
    <oddFooter>&amp;R참좋은기억학교(2022.11.25.)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topLeftCell="A22" zoomScaleNormal="100" zoomScaleSheetLayoutView="100" workbookViewId="0"/>
  </sheetViews>
  <sheetFormatPr defaultRowHeight="13.5" x14ac:dyDescent="0.15"/>
  <cols>
    <col min="1" max="1" width="14.88671875" style="10" customWidth="1"/>
    <col min="2" max="2" width="15.88671875" style="10" customWidth="1"/>
    <col min="3" max="5" width="13.77734375" style="10" customWidth="1"/>
    <col min="6" max="6" width="11.77734375" bestFit="1" customWidth="1"/>
    <col min="7" max="7" width="13.77734375" bestFit="1" customWidth="1"/>
  </cols>
  <sheetData>
    <row r="1" spans="1:7" ht="39" customHeight="1" x14ac:dyDescent="0.15">
      <c r="A1" s="254" t="s">
        <v>204</v>
      </c>
      <c r="B1" s="254"/>
      <c r="C1" s="254"/>
      <c r="D1" s="254"/>
      <c r="E1" s="254"/>
    </row>
    <row r="2" spans="1:7" ht="18" customHeight="1" x14ac:dyDescent="0.15">
      <c r="A2" s="4"/>
      <c r="B2" s="4"/>
      <c r="C2" s="4"/>
      <c r="D2" s="4"/>
      <c r="E2" s="36" t="s">
        <v>83</v>
      </c>
    </row>
    <row r="3" spans="1:7" ht="21" customHeight="1" x14ac:dyDescent="0.15">
      <c r="A3" s="255" t="s">
        <v>1</v>
      </c>
      <c r="B3" s="256"/>
      <c r="C3" s="256"/>
      <c r="D3" s="256"/>
      <c r="E3" s="257"/>
    </row>
    <row r="4" spans="1:7" ht="21" customHeight="1" thickBot="1" x14ac:dyDescent="0.2">
      <c r="A4" s="12" t="s">
        <v>2</v>
      </c>
      <c r="B4" s="13" t="s">
        <v>3</v>
      </c>
      <c r="C4" s="76" t="s">
        <v>208</v>
      </c>
      <c r="D4" s="77" t="s">
        <v>209</v>
      </c>
      <c r="E4" s="14" t="s">
        <v>4</v>
      </c>
    </row>
    <row r="5" spans="1:7" ht="21" customHeight="1" thickTop="1" x14ac:dyDescent="0.15">
      <c r="A5" s="258" t="s">
        <v>5</v>
      </c>
      <c r="B5" s="259"/>
      <c r="C5" s="15">
        <v>408676000</v>
      </c>
      <c r="D5" s="15">
        <f>D6+D7+D8+D9+D10+D11</f>
        <v>418296000</v>
      </c>
      <c r="E5" s="16">
        <f>E6+E7+E8+E9+E10+E11</f>
        <v>9620000</v>
      </c>
      <c r="G5" s="239"/>
    </row>
    <row r="6" spans="1:7" ht="21" customHeight="1" x14ac:dyDescent="0.15">
      <c r="A6" s="62" t="s">
        <v>74</v>
      </c>
      <c r="B6" s="17" t="s">
        <v>75</v>
      </c>
      <c r="C6" s="18">
        <v>49800000</v>
      </c>
      <c r="D6" s="18">
        <f>'결산추경예산내역-세입'!E8</f>
        <v>41000000</v>
      </c>
      <c r="E6" s="19">
        <f t="shared" ref="E6:E11" si="0">D6-C6</f>
        <v>-8800000</v>
      </c>
      <c r="G6" s="240"/>
    </row>
    <row r="7" spans="1:7" ht="21" customHeight="1" x14ac:dyDescent="0.15">
      <c r="A7" s="20" t="s">
        <v>76</v>
      </c>
      <c r="B7" s="17" t="s">
        <v>77</v>
      </c>
      <c r="C7" s="18">
        <v>344379936</v>
      </c>
      <c r="D7" s="18">
        <f>'결산추경예산내역-세입'!E12</f>
        <v>361813000</v>
      </c>
      <c r="E7" s="19">
        <f t="shared" si="0"/>
        <v>17433064</v>
      </c>
    </row>
    <row r="8" spans="1:7" ht="21" customHeight="1" x14ac:dyDescent="0.15">
      <c r="A8" s="63" t="s">
        <v>79</v>
      </c>
      <c r="B8" s="17" t="s">
        <v>78</v>
      </c>
      <c r="C8" s="18">
        <v>0</v>
      </c>
      <c r="D8" s="18">
        <f>'결산추경예산내역-세입'!F19</f>
        <v>300000</v>
      </c>
      <c r="E8" s="19">
        <f t="shared" si="0"/>
        <v>300000</v>
      </c>
      <c r="G8" s="153"/>
    </row>
    <row r="9" spans="1:7" ht="21" customHeight="1" x14ac:dyDescent="0.15">
      <c r="A9" s="20" t="s">
        <v>80</v>
      </c>
      <c r="B9" s="17" t="s">
        <v>80</v>
      </c>
      <c r="C9" s="18">
        <v>2000000</v>
      </c>
      <c r="D9" s="18">
        <f>'결산추경예산내역-세입'!E24</f>
        <v>3400000</v>
      </c>
      <c r="E9" s="19">
        <f t="shared" si="0"/>
        <v>1400000</v>
      </c>
    </row>
    <row r="10" spans="1:7" ht="21" customHeight="1" x14ac:dyDescent="0.15">
      <c r="A10" s="21" t="s">
        <v>81</v>
      </c>
      <c r="B10" s="22" t="s">
        <v>81</v>
      </c>
      <c r="C10" s="23">
        <v>4518979</v>
      </c>
      <c r="D10" s="23">
        <f>'결산추경예산내역-세입'!E28</f>
        <v>3805915</v>
      </c>
      <c r="E10" s="24">
        <f t="shared" si="0"/>
        <v>-713064</v>
      </c>
    </row>
    <row r="11" spans="1:7" ht="21" customHeight="1" x14ac:dyDescent="0.15">
      <c r="A11" s="25" t="s">
        <v>82</v>
      </c>
      <c r="B11" s="26" t="s">
        <v>82</v>
      </c>
      <c r="C11" s="27">
        <v>7977085</v>
      </c>
      <c r="D11" s="27">
        <f>'결산추경예산내역-세입'!I39</f>
        <v>7977085</v>
      </c>
      <c r="E11" s="28">
        <f t="shared" si="0"/>
        <v>0</v>
      </c>
    </row>
    <row r="12" spans="1:7" ht="21" customHeight="1" x14ac:dyDescent="0.15">
      <c r="A12" s="5"/>
      <c r="B12" s="5"/>
      <c r="C12" s="6"/>
      <c r="D12" s="130"/>
      <c r="E12" s="7"/>
    </row>
    <row r="13" spans="1:7" ht="21" customHeight="1" x14ac:dyDescent="0.15">
      <c r="A13" s="8"/>
      <c r="B13" s="8"/>
      <c r="C13" s="8"/>
      <c r="D13" s="8"/>
      <c r="E13" s="35" t="s">
        <v>83</v>
      </c>
    </row>
    <row r="14" spans="1:7" ht="21" customHeight="1" x14ac:dyDescent="0.15">
      <c r="A14" s="255" t="s">
        <v>6</v>
      </c>
      <c r="B14" s="256"/>
      <c r="C14" s="256"/>
      <c r="D14" s="256"/>
      <c r="E14" s="257"/>
    </row>
    <row r="15" spans="1:7" ht="21" customHeight="1" thickBot="1" x14ac:dyDescent="0.2">
      <c r="A15" s="12" t="s">
        <v>7</v>
      </c>
      <c r="B15" s="13" t="s">
        <v>8</v>
      </c>
      <c r="C15" s="76" t="s">
        <v>208</v>
      </c>
      <c r="D15" s="77" t="s">
        <v>209</v>
      </c>
      <c r="E15" s="14" t="s">
        <v>9</v>
      </c>
    </row>
    <row r="16" spans="1:7" ht="21" customHeight="1" thickTop="1" x14ac:dyDescent="0.15">
      <c r="A16" s="29" t="s">
        <v>10</v>
      </c>
      <c r="B16" s="30"/>
      <c r="C16" s="15">
        <v>408675999.73722398</v>
      </c>
      <c r="D16" s="15">
        <f>SUM(D17:D24)</f>
        <v>418295999.73722398</v>
      </c>
      <c r="E16" s="31">
        <f t="shared" ref="E16:E24" si="1">D16-C16</f>
        <v>9620000</v>
      </c>
      <c r="F16" s="153"/>
      <c r="G16" s="240"/>
    </row>
    <row r="17" spans="1:7" ht="21" customHeight="1" x14ac:dyDescent="0.15">
      <c r="A17" s="251" t="s">
        <v>84</v>
      </c>
      <c r="B17" s="32" t="s">
        <v>85</v>
      </c>
      <c r="C17" s="33">
        <v>325766293.73722398</v>
      </c>
      <c r="D17" s="33">
        <f>'결산추경예산내역-세출'!E8</f>
        <v>325886293.73722398</v>
      </c>
      <c r="E17" s="65">
        <f t="shared" si="1"/>
        <v>120000</v>
      </c>
      <c r="F17" s="153"/>
      <c r="G17" s="240"/>
    </row>
    <row r="18" spans="1:7" ht="21" customHeight="1" x14ac:dyDescent="0.15">
      <c r="A18" s="252"/>
      <c r="B18" s="17" t="s">
        <v>87</v>
      </c>
      <c r="C18" s="34">
        <v>1200000</v>
      </c>
      <c r="D18" s="34">
        <f>'결산추경예산내역-세출'!E50</f>
        <v>1200000</v>
      </c>
      <c r="E18" s="66">
        <f t="shared" si="1"/>
        <v>0</v>
      </c>
    </row>
    <row r="19" spans="1:7" ht="21" customHeight="1" x14ac:dyDescent="0.15">
      <c r="A19" s="253"/>
      <c r="B19" s="17" t="s">
        <v>86</v>
      </c>
      <c r="C19" s="34">
        <v>43110000</v>
      </c>
      <c r="D19" s="34">
        <f>'결산추경예산내역-세출'!E55</f>
        <v>38644000</v>
      </c>
      <c r="E19" s="66">
        <f t="shared" si="1"/>
        <v>-4466000</v>
      </c>
    </row>
    <row r="20" spans="1:7" ht="21" customHeight="1" x14ac:dyDescent="0.15">
      <c r="A20" s="20" t="s">
        <v>88</v>
      </c>
      <c r="B20" s="17" t="s">
        <v>89</v>
      </c>
      <c r="C20" s="34">
        <v>6665196</v>
      </c>
      <c r="D20" s="34">
        <f>'결산추경예산내역-세출'!E80</f>
        <v>6665196</v>
      </c>
      <c r="E20" s="66">
        <f t="shared" si="1"/>
        <v>0</v>
      </c>
    </row>
    <row r="21" spans="1:7" ht="21" customHeight="1" x14ac:dyDescent="0.15">
      <c r="A21" s="251" t="s">
        <v>90</v>
      </c>
      <c r="B21" s="17" t="s">
        <v>86</v>
      </c>
      <c r="C21" s="34">
        <v>16946000</v>
      </c>
      <c r="D21" s="34">
        <f>'결산추경예산내역-세출'!E90</f>
        <v>21830000</v>
      </c>
      <c r="E21" s="66">
        <f t="shared" si="1"/>
        <v>4884000</v>
      </c>
    </row>
    <row r="22" spans="1:7" ht="21" customHeight="1" x14ac:dyDescent="0.15">
      <c r="A22" s="252"/>
      <c r="B22" s="17" t="s">
        <v>90</v>
      </c>
      <c r="C22" s="34">
        <v>10090000</v>
      </c>
      <c r="D22" s="34">
        <f>'결산추경예산내역-세출'!E96</f>
        <v>12222000</v>
      </c>
      <c r="E22" s="66">
        <f t="shared" si="1"/>
        <v>2132000</v>
      </c>
    </row>
    <row r="23" spans="1:7" ht="21" customHeight="1" x14ac:dyDescent="0.15">
      <c r="A23" s="253"/>
      <c r="B23" s="17" t="s">
        <v>92</v>
      </c>
      <c r="C23" s="34">
        <v>4723000</v>
      </c>
      <c r="D23" s="34">
        <f>'결산추경예산내역-세출'!E121</f>
        <v>11673000</v>
      </c>
      <c r="E23" s="66">
        <f t="shared" si="1"/>
        <v>6950000</v>
      </c>
    </row>
    <row r="24" spans="1:7" ht="21" customHeight="1" x14ac:dyDescent="0.15">
      <c r="A24" s="25" t="s">
        <v>91</v>
      </c>
      <c r="B24" s="26" t="s">
        <v>91</v>
      </c>
      <c r="C24" s="27">
        <v>175510</v>
      </c>
      <c r="D24" s="27">
        <f>'결산추경예산내역-세출'!E135</f>
        <v>175510</v>
      </c>
      <c r="E24" s="37">
        <f t="shared" si="1"/>
        <v>0</v>
      </c>
    </row>
    <row r="25" spans="1:7" x14ac:dyDescent="0.15">
      <c r="A25" s="9"/>
      <c r="B25" s="9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2"/>
  <headerFooter alignWithMargins="0">
    <oddFooter>&amp;R참좋은기억학교(2022.11.25.)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topLeftCell="A4" zoomScaleNormal="100" zoomScaleSheetLayoutView="100" workbookViewId="0"/>
  </sheetViews>
  <sheetFormatPr defaultRowHeight="13.5" x14ac:dyDescent="0.15"/>
  <cols>
    <col min="1" max="1" width="9.44140625" style="38" customWidth="1"/>
    <col min="2" max="2" width="10.21875" style="38" customWidth="1"/>
    <col min="3" max="3" width="12.6640625" style="38" customWidth="1"/>
    <col min="4" max="4" width="12.6640625" style="88" customWidth="1"/>
    <col min="5" max="5" width="13" style="88" customWidth="1"/>
    <col min="6" max="6" width="11.77734375" style="88" customWidth="1"/>
    <col min="7" max="7" width="10.109375" style="64" customWidth="1"/>
    <col min="8" max="8" width="40.33203125" style="38" customWidth="1"/>
    <col min="9" max="9" width="13.21875" style="110" bestFit="1" customWidth="1"/>
    <col min="10" max="10" width="11.44140625" style="38" bestFit="1" customWidth="1"/>
    <col min="11" max="11" width="14" style="118" bestFit="1" customWidth="1"/>
    <col min="12" max="12" width="12.44140625" style="38" bestFit="1" customWidth="1"/>
    <col min="13" max="16384" width="8.88671875" style="38"/>
  </cols>
  <sheetData>
    <row r="1" spans="1:12" ht="20.100000000000001" customHeight="1" x14ac:dyDescent="0.15">
      <c r="A1" s="263" t="s">
        <v>205</v>
      </c>
      <c r="B1" s="263"/>
      <c r="C1" s="263"/>
      <c r="D1" s="263"/>
      <c r="E1" s="263"/>
      <c r="F1" s="263"/>
      <c r="G1" s="263"/>
      <c r="H1" s="263"/>
    </row>
    <row r="2" spans="1:12" ht="20.100000000000001" customHeight="1" x14ac:dyDescent="0.15">
      <c r="A2" s="100"/>
      <c r="B2" s="100"/>
      <c r="C2" s="100"/>
      <c r="D2" s="121"/>
      <c r="E2" s="121"/>
      <c r="F2" s="121"/>
      <c r="G2" s="100"/>
      <c r="H2" s="237"/>
    </row>
    <row r="3" spans="1:12" ht="20.100000000000001" customHeight="1" x14ac:dyDescent="0.15">
      <c r="A3" s="264" t="s">
        <v>136</v>
      </c>
      <c r="B3" s="265"/>
      <c r="C3" s="265"/>
      <c r="D3" s="7"/>
      <c r="E3" s="166"/>
      <c r="F3" s="7"/>
      <c r="H3" s="266" t="s">
        <v>12</v>
      </c>
      <c r="I3" s="267"/>
    </row>
    <row r="4" spans="1:12" ht="20.100000000000001" customHeight="1" x14ac:dyDescent="0.15">
      <c r="A4" s="268" t="s">
        <v>13</v>
      </c>
      <c r="B4" s="269"/>
      <c r="C4" s="270"/>
      <c r="D4" s="271" t="s">
        <v>210</v>
      </c>
      <c r="E4" s="271" t="s">
        <v>209</v>
      </c>
      <c r="F4" s="273" t="s">
        <v>4</v>
      </c>
      <c r="G4" s="273"/>
      <c r="H4" s="274" t="s">
        <v>14</v>
      </c>
      <c r="I4" s="275"/>
    </row>
    <row r="5" spans="1:12" ht="20.100000000000001" customHeight="1" thickBot="1" x14ac:dyDescent="0.2">
      <c r="A5" s="39" t="s">
        <v>15</v>
      </c>
      <c r="B5" s="39" t="s">
        <v>16</v>
      </c>
      <c r="C5" s="39" t="s">
        <v>17</v>
      </c>
      <c r="D5" s="272"/>
      <c r="E5" s="272"/>
      <c r="F5" s="109" t="s">
        <v>18</v>
      </c>
      <c r="G5" s="80" t="s">
        <v>19</v>
      </c>
      <c r="H5" s="276"/>
      <c r="I5" s="277"/>
    </row>
    <row r="6" spans="1:12" ht="20.100000000000001" customHeight="1" thickTop="1" x14ac:dyDescent="0.15">
      <c r="A6" s="278" t="s">
        <v>20</v>
      </c>
      <c r="B6" s="279"/>
      <c r="C6" s="280"/>
      <c r="D6" s="40">
        <v>408676000</v>
      </c>
      <c r="E6" s="112">
        <f>E7+E11+E28+E36+E24+E19</f>
        <v>418296000</v>
      </c>
      <c r="F6" s="40">
        <f>E6-D6</f>
        <v>9620000</v>
      </c>
      <c r="G6" s="81">
        <f>E6/D6*100</f>
        <v>102.35394297683251</v>
      </c>
      <c r="H6" s="230"/>
      <c r="I6" s="167"/>
    </row>
    <row r="7" spans="1:12" ht="20.100000000000001" customHeight="1" x14ac:dyDescent="0.15">
      <c r="A7" s="260" t="s">
        <v>30</v>
      </c>
      <c r="B7" s="262"/>
      <c r="C7" s="261"/>
      <c r="D7" s="45">
        <v>49800000</v>
      </c>
      <c r="E7" s="45">
        <f>I10</f>
        <v>41000000</v>
      </c>
      <c r="F7" s="40">
        <f t="shared" ref="F7:F38" si="0">E7-D7</f>
        <v>-8800000</v>
      </c>
      <c r="G7" s="81">
        <f>E7/D7*100</f>
        <v>82.329317269076313</v>
      </c>
      <c r="H7" s="231" t="s">
        <v>31</v>
      </c>
      <c r="I7" s="168"/>
    </row>
    <row r="8" spans="1:12" ht="20.100000000000001" customHeight="1" x14ac:dyDescent="0.15">
      <c r="A8" s="281"/>
      <c r="B8" s="260" t="s">
        <v>31</v>
      </c>
      <c r="C8" s="261"/>
      <c r="D8" s="41">
        <v>49800000</v>
      </c>
      <c r="E8" s="41">
        <f>E9</f>
        <v>41000000</v>
      </c>
      <c r="F8" s="47">
        <f t="shared" si="0"/>
        <v>-8800000</v>
      </c>
      <c r="G8" s="82">
        <f t="shared" ref="G8:G38" si="1">E8/D8*100</f>
        <v>82.329317269076313</v>
      </c>
      <c r="H8" s="231" t="s">
        <v>31</v>
      </c>
      <c r="I8" s="168"/>
    </row>
    <row r="9" spans="1:12" ht="20.100000000000001" customHeight="1" x14ac:dyDescent="0.15">
      <c r="A9" s="281"/>
      <c r="B9" s="281"/>
      <c r="C9" s="43" t="s">
        <v>31</v>
      </c>
      <c r="D9" s="58">
        <v>49800000</v>
      </c>
      <c r="E9" s="58">
        <f>I10</f>
        <v>41000000</v>
      </c>
      <c r="F9" s="46">
        <f t="shared" si="0"/>
        <v>-8800000</v>
      </c>
      <c r="G9" s="84">
        <f t="shared" si="1"/>
        <v>82.329317269076313</v>
      </c>
      <c r="H9" s="229" t="s">
        <v>31</v>
      </c>
      <c r="I9" s="169"/>
    </row>
    <row r="10" spans="1:12" ht="20.100000000000001" customHeight="1" x14ac:dyDescent="0.15">
      <c r="A10" s="281"/>
      <c r="B10" s="281"/>
      <c r="C10" s="56"/>
      <c r="D10" s="59"/>
      <c r="E10" s="59"/>
      <c r="F10" s="60"/>
      <c r="G10" s="86"/>
      <c r="H10" s="226" t="s">
        <v>244</v>
      </c>
      <c r="I10" s="170">
        <f>10000*20*205</f>
        <v>41000000</v>
      </c>
    </row>
    <row r="11" spans="1:12" ht="20.100000000000001" customHeight="1" x14ac:dyDescent="0.15">
      <c r="A11" s="260" t="s">
        <v>32</v>
      </c>
      <c r="B11" s="262"/>
      <c r="C11" s="261"/>
      <c r="D11" s="44">
        <v>344379936</v>
      </c>
      <c r="E11" s="44">
        <f>E12</f>
        <v>361813000</v>
      </c>
      <c r="F11" s="45">
        <f t="shared" si="0"/>
        <v>17433064</v>
      </c>
      <c r="G11" s="83">
        <f t="shared" si="1"/>
        <v>105.06216018345505</v>
      </c>
      <c r="H11" s="231" t="s">
        <v>32</v>
      </c>
      <c r="I11" s="168"/>
    </row>
    <row r="12" spans="1:12" ht="20.100000000000001" customHeight="1" x14ac:dyDescent="0.15">
      <c r="A12" s="92"/>
      <c r="B12" s="260" t="s">
        <v>32</v>
      </c>
      <c r="C12" s="261"/>
      <c r="D12" s="58">
        <v>344379936</v>
      </c>
      <c r="E12" s="58">
        <f>SUM(E13:E18)</f>
        <v>361813000</v>
      </c>
      <c r="F12" s="47">
        <f t="shared" si="0"/>
        <v>17433064</v>
      </c>
      <c r="G12" s="82">
        <f t="shared" si="1"/>
        <v>105.06216018345505</v>
      </c>
      <c r="H12" s="231" t="s">
        <v>38</v>
      </c>
      <c r="I12" s="168"/>
    </row>
    <row r="13" spans="1:12" ht="20.100000000000001" customHeight="1" x14ac:dyDescent="0.15">
      <c r="A13" s="92" t="s">
        <v>186</v>
      </c>
      <c r="B13" s="163"/>
      <c r="C13" s="57" t="s">
        <v>122</v>
      </c>
      <c r="D13" s="34">
        <v>0</v>
      </c>
      <c r="E13" s="34">
        <v>0</v>
      </c>
      <c r="F13" s="41">
        <f t="shared" si="0"/>
        <v>0</v>
      </c>
      <c r="G13" s="82">
        <v>0</v>
      </c>
      <c r="H13" s="231" t="s">
        <v>120</v>
      </c>
      <c r="I13" s="168"/>
    </row>
    <row r="14" spans="1:12" ht="20.100000000000001" customHeight="1" x14ac:dyDescent="0.15">
      <c r="A14" s="92"/>
      <c r="B14" s="163"/>
      <c r="C14" s="43" t="s">
        <v>123</v>
      </c>
      <c r="D14" s="58">
        <v>0</v>
      </c>
      <c r="E14" s="58">
        <v>0</v>
      </c>
      <c r="F14" s="46">
        <f t="shared" si="0"/>
        <v>0</v>
      </c>
      <c r="G14" s="82">
        <v>0</v>
      </c>
      <c r="H14" s="231" t="s">
        <v>121</v>
      </c>
      <c r="I14" s="168"/>
      <c r="L14" s="64"/>
    </row>
    <row r="15" spans="1:12" ht="20.100000000000001" customHeight="1" x14ac:dyDescent="0.15">
      <c r="A15" s="92"/>
      <c r="B15" s="163"/>
      <c r="C15" s="43" t="s">
        <v>124</v>
      </c>
      <c r="D15" s="23">
        <v>344379936</v>
      </c>
      <c r="E15" s="58">
        <f>I16+I18+I17</f>
        <v>361813000</v>
      </c>
      <c r="F15" s="46">
        <f t="shared" si="0"/>
        <v>17433064</v>
      </c>
      <c r="G15" s="90">
        <f t="shared" si="1"/>
        <v>105.06216018345505</v>
      </c>
      <c r="H15" s="229" t="s">
        <v>119</v>
      </c>
      <c r="I15" s="169"/>
    </row>
    <row r="16" spans="1:12" ht="20.100000000000001" customHeight="1" x14ac:dyDescent="0.15">
      <c r="A16" s="92"/>
      <c r="B16" s="163"/>
      <c r="C16" s="56"/>
      <c r="D16" s="101"/>
      <c r="E16" s="59"/>
      <c r="F16" s="60"/>
      <c r="G16" s="87"/>
      <c r="H16" s="226" t="s">
        <v>228</v>
      </c>
      <c r="I16" s="170">
        <f>81200250*4</f>
        <v>324801000</v>
      </c>
      <c r="J16" s="118"/>
      <c r="L16" s="88"/>
    </row>
    <row r="17" spans="1:12" ht="20.100000000000001" customHeight="1" x14ac:dyDescent="0.15">
      <c r="A17" s="92"/>
      <c r="B17" s="163"/>
      <c r="C17" s="56"/>
      <c r="D17" s="101"/>
      <c r="E17" s="59"/>
      <c r="F17" s="60"/>
      <c r="G17" s="90"/>
      <c r="H17" s="226" t="s">
        <v>180</v>
      </c>
      <c r="I17" s="170">
        <f>5250000*4</f>
        <v>21000000</v>
      </c>
      <c r="J17" s="118"/>
      <c r="L17" s="88"/>
    </row>
    <row r="18" spans="1:12" ht="20.100000000000001" customHeight="1" x14ac:dyDescent="0.15">
      <c r="A18" s="92"/>
      <c r="B18" s="163"/>
      <c r="C18" s="56"/>
      <c r="D18" s="101"/>
      <c r="E18" s="59"/>
      <c r="F18" s="60"/>
      <c r="G18" s="90"/>
      <c r="H18" s="230" t="s">
        <v>233</v>
      </c>
      <c r="I18" s="171">
        <f>16012000*1</f>
        <v>16012000</v>
      </c>
      <c r="L18" s="88"/>
    </row>
    <row r="19" spans="1:12" ht="20.100000000000001" customHeight="1" x14ac:dyDescent="0.15">
      <c r="A19" s="260" t="s">
        <v>33</v>
      </c>
      <c r="B19" s="262"/>
      <c r="C19" s="261"/>
      <c r="D19" s="44">
        <v>0</v>
      </c>
      <c r="E19" s="44">
        <f>E20</f>
        <v>300000</v>
      </c>
      <c r="F19" s="45">
        <f t="shared" ref="F19:F32" si="2">E19-D19</f>
        <v>300000</v>
      </c>
      <c r="G19" s="83">
        <v>0</v>
      </c>
      <c r="H19" s="231" t="s">
        <v>33</v>
      </c>
      <c r="I19" s="168"/>
      <c r="L19" s="64"/>
    </row>
    <row r="20" spans="1:12" ht="20.100000000000001" customHeight="1" x14ac:dyDescent="0.15">
      <c r="A20" s="92"/>
      <c r="B20" s="260" t="s">
        <v>33</v>
      </c>
      <c r="C20" s="261"/>
      <c r="D20" s="34">
        <v>0</v>
      </c>
      <c r="E20" s="34">
        <f>SUM(E21:E23)</f>
        <v>300000</v>
      </c>
      <c r="F20" s="47">
        <f t="shared" si="2"/>
        <v>300000</v>
      </c>
      <c r="G20" s="82">
        <v>0</v>
      </c>
      <c r="H20" s="231" t="s">
        <v>33</v>
      </c>
      <c r="I20" s="168"/>
      <c r="L20" s="64"/>
    </row>
    <row r="21" spans="1:12" ht="20.100000000000001" customHeight="1" x14ac:dyDescent="0.15">
      <c r="A21" s="92"/>
      <c r="B21" s="163"/>
      <c r="C21" s="57" t="s">
        <v>34</v>
      </c>
      <c r="D21" s="34">
        <v>0</v>
      </c>
      <c r="E21" s="34">
        <v>0</v>
      </c>
      <c r="F21" s="47">
        <f t="shared" si="2"/>
        <v>0</v>
      </c>
      <c r="G21" s="82">
        <v>0</v>
      </c>
      <c r="H21" s="231" t="s">
        <v>34</v>
      </c>
      <c r="I21" s="168"/>
      <c r="L21" s="64"/>
    </row>
    <row r="22" spans="1:12" ht="20.100000000000001" customHeight="1" x14ac:dyDescent="0.15">
      <c r="A22" s="92"/>
      <c r="B22" s="163"/>
      <c r="C22" s="43" t="s">
        <v>35</v>
      </c>
      <c r="D22" s="58">
        <v>0</v>
      </c>
      <c r="E22" s="58">
        <f>I23</f>
        <v>300000</v>
      </c>
      <c r="F22" s="60">
        <f t="shared" si="2"/>
        <v>300000</v>
      </c>
      <c r="G22" s="90">
        <v>0</v>
      </c>
      <c r="H22" s="229" t="s">
        <v>35</v>
      </c>
      <c r="I22" s="169"/>
      <c r="L22" s="64"/>
    </row>
    <row r="23" spans="1:12" ht="20.100000000000001" customHeight="1" x14ac:dyDescent="0.15">
      <c r="A23" s="92"/>
      <c r="B23" s="54"/>
      <c r="C23" s="57"/>
      <c r="D23" s="33"/>
      <c r="E23" s="33"/>
      <c r="F23" s="47"/>
      <c r="G23" s="102"/>
      <c r="H23" s="230" t="s">
        <v>227</v>
      </c>
      <c r="I23" s="171">
        <f>50000*6</f>
        <v>300000</v>
      </c>
      <c r="L23" s="88"/>
    </row>
    <row r="24" spans="1:12" ht="20.100000000000001" customHeight="1" x14ac:dyDescent="0.15">
      <c r="A24" s="260" t="s">
        <v>37</v>
      </c>
      <c r="B24" s="262"/>
      <c r="C24" s="261"/>
      <c r="D24" s="44">
        <v>2000000</v>
      </c>
      <c r="E24" s="44">
        <f>E25</f>
        <v>3400000</v>
      </c>
      <c r="F24" s="40">
        <f t="shared" si="2"/>
        <v>1400000</v>
      </c>
      <c r="G24" s="82">
        <v>0</v>
      </c>
      <c r="H24" s="231" t="s">
        <v>37</v>
      </c>
      <c r="I24" s="168"/>
      <c r="L24" s="88"/>
    </row>
    <row r="25" spans="1:12" ht="20.100000000000001" customHeight="1" x14ac:dyDescent="0.15">
      <c r="A25" s="92"/>
      <c r="B25" s="260" t="s">
        <v>37</v>
      </c>
      <c r="C25" s="261"/>
      <c r="D25" s="34">
        <v>2000000</v>
      </c>
      <c r="E25" s="34">
        <f>E26</f>
        <v>3400000</v>
      </c>
      <c r="F25" s="47">
        <f t="shared" si="2"/>
        <v>1400000</v>
      </c>
      <c r="G25" s="82">
        <v>0</v>
      </c>
      <c r="H25" s="231" t="s">
        <v>37</v>
      </c>
      <c r="I25" s="168"/>
      <c r="L25" s="64"/>
    </row>
    <row r="26" spans="1:12" ht="20.100000000000001" customHeight="1" x14ac:dyDescent="0.15">
      <c r="A26" s="92"/>
      <c r="B26" s="163"/>
      <c r="C26" s="43" t="s">
        <v>201</v>
      </c>
      <c r="D26" s="58">
        <v>2000000</v>
      </c>
      <c r="E26" s="58">
        <f>I27</f>
        <v>3400000</v>
      </c>
      <c r="F26" s="46">
        <f t="shared" si="2"/>
        <v>1400000</v>
      </c>
      <c r="G26" s="85">
        <v>0</v>
      </c>
      <c r="H26" s="229" t="s">
        <v>224</v>
      </c>
      <c r="I26" s="169"/>
      <c r="L26" s="64"/>
    </row>
    <row r="27" spans="1:12" ht="20.100000000000001" customHeight="1" x14ac:dyDescent="0.15">
      <c r="A27" s="172"/>
      <c r="B27" s="54"/>
      <c r="C27" s="57"/>
      <c r="D27" s="173"/>
      <c r="E27" s="33"/>
      <c r="F27" s="47"/>
      <c r="G27" s="82"/>
      <c r="H27" s="230" t="s">
        <v>225</v>
      </c>
      <c r="I27" s="171">
        <f>850000*4</f>
        <v>3400000</v>
      </c>
      <c r="L27" s="88"/>
    </row>
    <row r="28" spans="1:12" ht="20.100000000000001" customHeight="1" x14ac:dyDescent="0.15">
      <c r="A28" s="98" t="s">
        <v>24</v>
      </c>
      <c r="B28" s="99"/>
      <c r="C28" s="97"/>
      <c r="D28" s="45">
        <v>4518979</v>
      </c>
      <c r="E28" s="45">
        <f>E29</f>
        <v>3805915</v>
      </c>
      <c r="F28" s="40">
        <f t="shared" si="2"/>
        <v>-713064</v>
      </c>
      <c r="G28" s="164">
        <f t="shared" si="1"/>
        <v>84.220683477396108</v>
      </c>
      <c r="H28" s="231" t="s">
        <v>24</v>
      </c>
      <c r="I28" s="111"/>
      <c r="K28" s="155"/>
    </row>
    <row r="29" spans="1:12" ht="20.100000000000001" customHeight="1" x14ac:dyDescent="0.15">
      <c r="A29" s="161"/>
      <c r="B29" s="96" t="s">
        <v>24</v>
      </c>
      <c r="C29" s="97"/>
      <c r="D29" s="41">
        <v>4518979</v>
      </c>
      <c r="E29" s="41">
        <f>E30+E32</f>
        <v>3805915</v>
      </c>
      <c r="F29" s="41">
        <f t="shared" si="2"/>
        <v>-713064</v>
      </c>
      <c r="G29" s="165">
        <f t="shared" si="1"/>
        <v>84.220683477396108</v>
      </c>
      <c r="H29" s="231" t="s">
        <v>24</v>
      </c>
      <c r="I29" s="111"/>
    </row>
    <row r="30" spans="1:12" ht="20.100000000000001" customHeight="1" x14ac:dyDescent="0.15">
      <c r="A30" s="161"/>
      <c r="B30" s="61"/>
      <c r="C30" s="56" t="s">
        <v>96</v>
      </c>
      <c r="D30" s="60">
        <v>30100</v>
      </c>
      <c r="E30" s="60">
        <f>I31</f>
        <v>30100</v>
      </c>
      <c r="F30" s="60">
        <f t="shared" si="2"/>
        <v>0</v>
      </c>
      <c r="G30" s="87">
        <f t="shared" si="1"/>
        <v>100</v>
      </c>
      <c r="H30" s="226" t="s">
        <v>96</v>
      </c>
      <c r="I30" s="115"/>
    </row>
    <row r="31" spans="1:12" ht="20.100000000000001" customHeight="1" x14ac:dyDescent="0.15">
      <c r="A31" s="55"/>
      <c r="B31" s="61"/>
      <c r="C31" s="57"/>
      <c r="D31" s="47"/>
      <c r="E31" s="47"/>
      <c r="F31" s="47"/>
      <c r="G31" s="102"/>
      <c r="H31" s="226" t="s">
        <v>178</v>
      </c>
      <c r="I31" s="115">
        <f>15050*2</f>
        <v>30100</v>
      </c>
    </row>
    <row r="32" spans="1:12" ht="20.100000000000001" customHeight="1" x14ac:dyDescent="0.15">
      <c r="A32" s="55"/>
      <c r="B32" s="56"/>
      <c r="C32" s="43" t="s">
        <v>36</v>
      </c>
      <c r="D32" s="46">
        <v>4488879</v>
      </c>
      <c r="E32" s="46">
        <f>I33+I34+I35</f>
        <v>3775815</v>
      </c>
      <c r="F32" s="46">
        <f t="shared" si="2"/>
        <v>-713064</v>
      </c>
      <c r="G32" s="85">
        <f t="shared" si="1"/>
        <v>84.11487589663254</v>
      </c>
      <c r="H32" s="229" t="s">
        <v>36</v>
      </c>
      <c r="I32" s="117"/>
    </row>
    <row r="33" spans="1:9" ht="20.100000000000001" customHeight="1" x14ac:dyDescent="0.15">
      <c r="A33" s="55"/>
      <c r="B33" s="61"/>
      <c r="C33" s="56"/>
      <c r="D33" s="60"/>
      <c r="E33" s="60"/>
      <c r="F33" s="60"/>
      <c r="G33" s="87"/>
      <c r="H33" s="226" t="s">
        <v>234</v>
      </c>
      <c r="I33" s="115">
        <f>275000*12</f>
        <v>3300000</v>
      </c>
    </row>
    <row r="34" spans="1:9" ht="20.100000000000001" customHeight="1" x14ac:dyDescent="0.15">
      <c r="A34" s="55"/>
      <c r="B34" s="61"/>
      <c r="C34" s="56"/>
      <c r="D34" s="60"/>
      <c r="E34" s="60"/>
      <c r="F34" s="60"/>
      <c r="G34" s="87"/>
      <c r="H34" s="226" t="s">
        <v>232</v>
      </c>
      <c r="I34" s="115">
        <f>150000*3</f>
        <v>450000</v>
      </c>
    </row>
    <row r="35" spans="1:9" ht="20.100000000000001" customHeight="1" x14ac:dyDescent="0.15">
      <c r="A35" s="55"/>
      <c r="B35" s="61"/>
      <c r="C35" s="56"/>
      <c r="D35" s="60"/>
      <c r="E35" s="60"/>
      <c r="F35" s="60"/>
      <c r="G35" s="87"/>
      <c r="H35" s="226" t="s">
        <v>241</v>
      </c>
      <c r="I35" s="115">
        <f>25815*1</f>
        <v>25815</v>
      </c>
    </row>
    <row r="36" spans="1:9" ht="20.100000000000001" customHeight="1" x14ac:dyDescent="0.15">
      <c r="A36" s="98" t="s">
        <v>21</v>
      </c>
      <c r="B36" s="99"/>
      <c r="C36" s="97"/>
      <c r="D36" s="45">
        <v>7977085</v>
      </c>
      <c r="E36" s="45">
        <f>E37</f>
        <v>7977085</v>
      </c>
      <c r="F36" s="45">
        <f>E36-D36</f>
        <v>0</v>
      </c>
      <c r="G36" s="93">
        <f t="shared" si="1"/>
        <v>100</v>
      </c>
      <c r="H36" s="231" t="s">
        <v>39</v>
      </c>
      <c r="I36" s="111"/>
    </row>
    <row r="37" spans="1:9" ht="20.100000000000001" customHeight="1" x14ac:dyDescent="0.15">
      <c r="A37" s="55"/>
      <c r="B37" s="96" t="s">
        <v>22</v>
      </c>
      <c r="C37" s="97"/>
      <c r="D37" s="41">
        <v>7977085</v>
      </c>
      <c r="E37" s="41">
        <f>E38</f>
        <v>7977085</v>
      </c>
      <c r="F37" s="47">
        <f t="shared" si="0"/>
        <v>0</v>
      </c>
      <c r="G37" s="82">
        <f t="shared" si="1"/>
        <v>100</v>
      </c>
      <c r="H37" s="231" t="s">
        <v>118</v>
      </c>
      <c r="I37" s="111"/>
    </row>
    <row r="38" spans="1:9" ht="20.100000000000001" customHeight="1" x14ac:dyDescent="0.15">
      <c r="A38" s="55"/>
      <c r="B38" s="91"/>
      <c r="C38" s="43" t="s">
        <v>23</v>
      </c>
      <c r="D38" s="46">
        <v>7977085</v>
      </c>
      <c r="E38" s="46">
        <f>I39</f>
        <v>7977085</v>
      </c>
      <c r="F38" s="60">
        <f t="shared" si="0"/>
        <v>0</v>
      </c>
      <c r="G38" s="90">
        <f t="shared" si="1"/>
        <v>100</v>
      </c>
      <c r="H38" s="229" t="s">
        <v>118</v>
      </c>
      <c r="I38" s="115"/>
    </row>
    <row r="39" spans="1:9" ht="20.100000000000001" customHeight="1" x14ac:dyDescent="0.15">
      <c r="A39" s="124"/>
      <c r="B39" s="122"/>
      <c r="C39" s="125"/>
      <c r="D39" s="131"/>
      <c r="E39" s="131"/>
      <c r="F39" s="131"/>
      <c r="G39" s="126"/>
      <c r="H39" s="238" t="s">
        <v>179</v>
      </c>
      <c r="I39" s="116">
        <f>7977085*1</f>
        <v>7977085</v>
      </c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9"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  <mergeCell ref="B12:C12"/>
    <mergeCell ref="A19:C19"/>
    <mergeCell ref="B20:C20"/>
    <mergeCell ref="A24:C24"/>
    <mergeCell ref="B25:C25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74" firstPageNumber="3" orientation="landscape" useFirstPageNumber="1" r:id="rId2"/>
  <headerFooter alignWithMargins="0">
    <oddFooter>&amp;R참좋은기억학교(2022.11.25.)</oddFooter>
  </headerFooter>
  <rowBreaks count="1" manualBreakCount="1">
    <brk id="2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view="pageBreakPreview" zoomScaleNormal="100" zoomScaleSheetLayoutView="100" workbookViewId="0"/>
  </sheetViews>
  <sheetFormatPr defaultRowHeight="13.5" x14ac:dyDescent="0.15"/>
  <cols>
    <col min="1" max="1" width="9.44140625" style="38" customWidth="1"/>
    <col min="2" max="2" width="10.21875" style="38" customWidth="1"/>
    <col min="3" max="3" width="12.6640625" style="38" customWidth="1"/>
    <col min="4" max="4" width="12.6640625" style="88" customWidth="1"/>
    <col min="5" max="5" width="13" style="247" customWidth="1"/>
    <col min="6" max="6" width="11.77734375" style="177" customWidth="1"/>
    <col min="7" max="7" width="10.109375" style="64" customWidth="1"/>
    <col min="8" max="8" width="40.33203125" style="38" customWidth="1"/>
    <col min="9" max="9" width="13.21875" style="179" bestFit="1" customWidth="1"/>
    <col min="10" max="11" width="12.44140625" style="38" bestFit="1" customWidth="1"/>
    <col min="12" max="12" width="15" style="180" bestFit="1" customWidth="1"/>
    <col min="13" max="13" width="14" style="38" bestFit="1" customWidth="1"/>
    <col min="14" max="16384" width="8.88671875" style="38"/>
  </cols>
  <sheetData>
    <row r="1" spans="1:13" ht="20.100000000000001" customHeight="1" x14ac:dyDescent="0.15">
      <c r="A1" s="175" t="s">
        <v>206</v>
      </c>
      <c r="B1" s="175"/>
      <c r="C1" s="176"/>
      <c r="G1" s="178"/>
    </row>
    <row r="2" spans="1:13" ht="20.100000000000001" customHeight="1" x14ac:dyDescent="0.15">
      <c r="A2" s="175"/>
      <c r="B2" s="175"/>
      <c r="C2" s="176"/>
      <c r="G2" s="178"/>
    </row>
    <row r="3" spans="1:13" ht="20.100000000000001" customHeight="1" x14ac:dyDescent="0.15">
      <c r="A3" s="290" t="s">
        <v>136</v>
      </c>
      <c r="B3" s="290"/>
      <c r="C3" s="290"/>
      <c r="H3" s="288" t="s">
        <v>12</v>
      </c>
      <c r="I3" s="289"/>
    </row>
    <row r="4" spans="1:13" ht="20.100000000000001" customHeight="1" x14ac:dyDescent="0.15">
      <c r="A4" s="255" t="s">
        <v>13</v>
      </c>
      <c r="B4" s="282"/>
      <c r="C4" s="282"/>
      <c r="D4" s="291" t="s">
        <v>208</v>
      </c>
      <c r="E4" s="292" t="s">
        <v>209</v>
      </c>
      <c r="F4" s="282" t="s">
        <v>4</v>
      </c>
      <c r="G4" s="282"/>
      <c r="H4" s="283" t="s">
        <v>14</v>
      </c>
      <c r="I4" s="284"/>
    </row>
    <row r="5" spans="1:13" ht="20.100000000000001" customHeight="1" thickBot="1" x14ac:dyDescent="0.2">
      <c r="A5" s="12" t="s">
        <v>15</v>
      </c>
      <c r="B5" s="39" t="s">
        <v>16</v>
      </c>
      <c r="C5" s="39" t="s">
        <v>17</v>
      </c>
      <c r="D5" s="272"/>
      <c r="E5" s="293"/>
      <c r="F5" s="109" t="s">
        <v>18</v>
      </c>
      <c r="G5" s="80" t="s">
        <v>19</v>
      </c>
      <c r="H5" s="276"/>
      <c r="I5" s="285"/>
      <c r="J5" s="64"/>
    </row>
    <row r="6" spans="1:13" ht="20.100000000000001" customHeight="1" thickTop="1" x14ac:dyDescent="0.15">
      <c r="A6" s="286" t="s">
        <v>20</v>
      </c>
      <c r="B6" s="287"/>
      <c r="C6" s="287"/>
      <c r="D6" s="181">
        <v>408675999.73722398</v>
      </c>
      <c r="E6" s="181">
        <f>E7+E80+E89+E135</f>
        <v>418295999.73722398</v>
      </c>
      <c r="F6" s="181">
        <f>E6-D6</f>
        <v>9620000</v>
      </c>
      <c r="G6" s="81">
        <f>E6/D6*100</f>
        <v>102.35394297834608</v>
      </c>
      <c r="H6" s="222"/>
      <c r="I6" s="182"/>
      <c r="J6" s="88"/>
    </row>
    <row r="7" spans="1:13" ht="20.100000000000001" customHeight="1" x14ac:dyDescent="0.15">
      <c r="A7" s="98" t="s">
        <v>25</v>
      </c>
      <c r="B7" s="183"/>
      <c r="C7" s="97"/>
      <c r="D7" s="184">
        <v>370076293.73722398</v>
      </c>
      <c r="E7" s="184">
        <f>E8+E50+E55</f>
        <v>365730293.73722398</v>
      </c>
      <c r="F7" s="184">
        <f t="shared" ref="F7:F139" si="0">E7-D7</f>
        <v>-4346000</v>
      </c>
      <c r="G7" s="81">
        <f>E7/D7*100</f>
        <v>98.825647556045311</v>
      </c>
      <c r="H7" s="223" t="s">
        <v>25</v>
      </c>
      <c r="I7" s="185"/>
      <c r="J7" s="88"/>
      <c r="M7" s="186"/>
    </row>
    <row r="8" spans="1:13" ht="20.25" customHeight="1" x14ac:dyDescent="0.15">
      <c r="A8" s="55"/>
      <c r="B8" s="96" t="s">
        <v>26</v>
      </c>
      <c r="C8" s="97"/>
      <c r="D8" s="187">
        <v>325766293.73722398</v>
      </c>
      <c r="E8" s="187">
        <f>E9+E26+E37+E39+E46</f>
        <v>325886293.73722398</v>
      </c>
      <c r="F8" s="187">
        <f t="shared" si="0"/>
        <v>120000</v>
      </c>
      <c r="G8" s="82">
        <f t="shared" ref="G8:G9" si="1">E8/D8*100</f>
        <v>100.03683622348505</v>
      </c>
      <c r="H8" s="224" t="s">
        <v>26</v>
      </c>
      <c r="I8" s="185"/>
    </row>
    <row r="9" spans="1:13" ht="20.100000000000001" customHeight="1" x14ac:dyDescent="0.15">
      <c r="A9" s="55"/>
      <c r="B9" s="56"/>
      <c r="C9" s="43" t="s">
        <v>40</v>
      </c>
      <c r="D9" s="188">
        <v>242817600</v>
      </c>
      <c r="E9" s="188">
        <f>I9</f>
        <v>242817600</v>
      </c>
      <c r="F9" s="188">
        <f>E9-D9</f>
        <v>0</v>
      </c>
      <c r="G9" s="85">
        <f t="shared" si="1"/>
        <v>100</v>
      </c>
      <c r="H9" s="225" t="s">
        <v>41</v>
      </c>
      <c r="I9" s="189">
        <f>SUM(I10:I25)</f>
        <v>242817600</v>
      </c>
      <c r="J9" s="180"/>
    </row>
    <row r="10" spans="1:13" ht="20.100000000000001" customHeight="1" x14ac:dyDescent="0.15">
      <c r="A10" s="55"/>
      <c r="B10" s="56"/>
      <c r="C10" s="56"/>
      <c r="D10" s="190"/>
      <c r="E10" s="190"/>
      <c r="F10" s="191"/>
      <c r="G10" s="192"/>
      <c r="H10" s="226" t="s">
        <v>188</v>
      </c>
      <c r="I10" s="182">
        <f>3445300*1</f>
        <v>3445300</v>
      </c>
    </row>
    <row r="11" spans="1:13" ht="20.100000000000001" customHeight="1" x14ac:dyDescent="0.15">
      <c r="A11" s="55"/>
      <c r="B11" s="56"/>
      <c r="C11" s="56"/>
      <c r="D11" s="190"/>
      <c r="E11" s="190"/>
      <c r="F11" s="191"/>
      <c r="G11" s="192"/>
      <c r="H11" s="226" t="s">
        <v>187</v>
      </c>
      <c r="I11" s="182">
        <f>3522100*11</f>
        <v>38743100</v>
      </c>
      <c r="J11" s="64"/>
    </row>
    <row r="12" spans="1:13" ht="20.100000000000001" customHeight="1" x14ac:dyDescent="0.15">
      <c r="A12" s="55"/>
      <c r="B12" s="56"/>
      <c r="C12" s="56"/>
      <c r="D12" s="190"/>
      <c r="E12" s="190"/>
      <c r="F12" s="191"/>
      <c r="G12" s="192"/>
      <c r="H12" s="226" t="s">
        <v>161</v>
      </c>
      <c r="I12" s="182">
        <f>2610800*1</f>
        <v>2610800</v>
      </c>
    </row>
    <row r="13" spans="1:13" ht="20.100000000000001" customHeight="1" x14ac:dyDescent="0.15">
      <c r="A13" s="55"/>
      <c r="B13" s="56"/>
      <c r="C13" s="56"/>
      <c r="D13" s="190"/>
      <c r="E13" s="190"/>
      <c r="F13" s="191"/>
      <c r="G13" s="192"/>
      <c r="H13" s="226" t="s">
        <v>162</v>
      </c>
      <c r="I13" s="182">
        <f>2713000*11</f>
        <v>29843000</v>
      </c>
      <c r="J13" s="64"/>
    </row>
    <row r="14" spans="1:13" ht="20.100000000000001" customHeight="1" x14ac:dyDescent="0.15">
      <c r="A14" s="55"/>
      <c r="B14" s="56"/>
      <c r="C14" s="56"/>
      <c r="D14" s="190"/>
      <c r="E14" s="190"/>
      <c r="F14" s="191"/>
      <c r="G14" s="192"/>
      <c r="H14" s="226" t="s">
        <v>163</v>
      </c>
      <c r="I14" s="182">
        <f>2332500*9</f>
        <v>20992500</v>
      </c>
    </row>
    <row r="15" spans="1:13" ht="20.100000000000001" customHeight="1" x14ac:dyDescent="0.15">
      <c r="A15" s="55"/>
      <c r="B15" s="56"/>
      <c r="C15" s="56"/>
      <c r="D15" s="190"/>
      <c r="E15" s="190"/>
      <c r="F15" s="191"/>
      <c r="G15" s="192"/>
      <c r="H15" s="226" t="s">
        <v>164</v>
      </c>
      <c r="I15" s="182">
        <f>2424700*3</f>
        <v>7274100</v>
      </c>
      <c r="J15" s="64"/>
    </row>
    <row r="16" spans="1:13" ht="20.100000000000001" customHeight="1" x14ac:dyDescent="0.15">
      <c r="A16" s="55"/>
      <c r="B16" s="56"/>
      <c r="C16" s="56"/>
      <c r="D16" s="190"/>
      <c r="E16" s="190"/>
      <c r="F16" s="191"/>
      <c r="G16" s="192"/>
      <c r="H16" s="226" t="s">
        <v>170</v>
      </c>
      <c r="I16" s="182">
        <f>2020600*10</f>
        <v>20206000</v>
      </c>
    </row>
    <row r="17" spans="1:11" ht="20.100000000000001" customHeight="1" x14ac:dyDescent="0.15">
      <c r="A17" s="55"/>
      <c r="B17" s="56"/>
      <c r="C17" s="56"/>
      <c r="D17" s="190"/>
      <c r="E17" s="190"/>
      <c r="F17" s="191"/>
      <c r="G17" s="192"/>
      <c r="H17" s="226" t="s">
        <v>171</v>
      </c>
      <c r="I17" s="182">
        <f>2065600*2</f>
        <v>4131200</v>
      </c>
      <c r="J17" s="64"/>
    </row>
    <row r="18" spans="1:11" ht="20.100000000000001" customHeight="1" x14ac:dyDescent="0.15">
      <c r="A18" s="55"/>
      <c r="B18" s="56"/>
      <c r="C18" s="56"/>
      <c r="D18" s="190"/>
      <c r="E18" s="190"/>
      <c r="F18" s="191"/>
      <c r="G18" s="192"/>
      <c r="H18" s="226" t="s">
        <v>169</v>
      </c>
      <c r="I18" s="182">
        <f>1989200*2</f>
        <v>3978400</v>
      </c>
    </row>
    <row r="19" spans="1:11" ht="20.100000000000001" customHeight="1" x14ac:dyDescent="0.15">
      <c r="A19" s="55"/>
      <c r="B19" s="56"/>
      <c r="C19" s="56"/>
      <c r="D19" s="190"/>
      <c r="E19" s="190"/>
      <c r="F19" s="191"/>
      <c r="G19" s="192"/>
      <c r="H19" s="226" t="s">
        <v>168</v>
      </c>
      <c r="I19" s="182">
        <f>2020600*10</f>
        <v>20206000</v>
      </c>
      <c r="J19" s="64"/>
    </row>
    <row r="20" spans="1:11" ht="20.100000000000001" customHeight="1" x14ac:dyDescent="0.15">
      <c r="A20" s="55"/>
      <c r="B20" s="56"/>
      <c r="C20" s="56"/>
      <c r="D20" s="190"/>
      <c r="E20" s="190"/>
      <c r="F20" s="191"/>
      <c r="G20" s="193"/>
      <c r="H20" s="226" t="s">
        <v>167</v>
      </c>
      <c r="I20" s="182">
        <f>2123400*11</f>
        <v>23357400</v>
      </c>
    </row>
    <row r="21" spans="1:11" ht="20.100000000000001" customHeight="1" x14ac:dyDescent="0.15">
      <c r="A21" s="55"/>
      <c r="B21" s="56"/>
      <c r="C21" s="56"/>
      <c r="D21" s="190"/>
      <c r="E21" s="190"/>
      <c r="F21" s="191"/>
      <c r="G21" s="192"/>
      <c r="H21" s="226" t="s">
        <v>213</v>
      </c>
      <c r="I21" s="182">
        <f>2183800*1</f>
        <v>2183800</v>
      </c>
      <c r="J21" s="64"/>
    </row>
    <row r="22" spans="1:11" ht="20.100000000000001" customHeight="1" x14ac:dyDescent="0.15">
      <c r="A22" s="55"/>
      <c r="B22" s="56"/>
      <c r="C22" s="56"/>
      <c r="D22" s="190"/>
      <c r="E22" s="190"/>
      <c r="F22" s="191"/>
      <c r="G22" s="192"/>
      <c r="H22" s="226" t="s">
        <v>166</v>
      </c>
      <c r="I22" s="182">
        <f>1950300*8</f>
        <v>15602400</v>
      </c>
    </row>
    <row r="23" spans="1:11" ht="20.100000000000001" customHeight="1" x14ac:dyDescent="0.15">
      <c r="A23" s="55"/>
      <c r="B23" s="56"/>
      <c r="C23" s="56"/>
      <c r="D23" s="190"/>
      <c r="E23" s="190"/>
      <c r="F23" s="191"/>
      <c r="G23" s="192"/>
      <c r="H23" s="226" t="s">
        <v>165</v>
      </c>
      <c r="I23" s="182">
        <f>2000900*4</f>
        <v>8003600</v>
      </c>
      <c r="J23" s="64"/>
    </row>
    <row r="24" spans="1:11" ht="20.100000000000001" customHeight="1" x14ac:dyDescent="0.15">
      <c r="A24" s="55"/>
      <c r="B24" s="56"/>
      <c r="C24" s="56"/>
      <c r="D24" s="190"/>
      <c r="E24" s="190"/>
      <c r="F24" s="191"/>
      <c r="G24" s="192"/>
      <c r="H24" s="226" t="s">
        <v>159</v>
      </c>
      <c r="I24" s="182">
        <f>1970000*12*1</f>
        <v>23640000</v>
      </c>
      <c r="J24" s="64"/>
    </row>
    <row r="25" spans="1:11" ht="20.100000000000001" customHeight="1" x14ac:dyDescent="0.15">
      <c r="A25" s="124"/>
      <c r="B25" s="122"/>
      <c r="C25" s="122"/>
      <c r="D25" s="194"/>
      <c r="E25" s="194"/>
      <c r="F25" s="195"/>
      <c r="G25" s="196"/>
      <c r="H25" s="227" t="s">
        <v>160</v>
      </c>
      <c r="I25" s="197">
        <f>1550000*12*1</f>
        <v>18600000</v>
      </c>
      <c r="J25" s="64"/>
    </row>
    <row r="26" spans="1:11" ht="20.100000000000001" customHeight="1" x14ac:dyDescent="0.15">
      <c r="A26" s="55"/>
      <c r="B26" s="56"/>
      <c r="C26" s="56" t="s">
        <v>42</v>
      </c>
      <c r="D26" s="190">
        <v>32479440</v>
      </c>
      <c r="E26" s="190">
        <f>I28+I30+I32+I34+I36</f>
        <v>32599440</v>
      </c>
      <c r="F26" s="190">
        <f>E26-D26</f>
        <v>120000</v>
      </c>
      <c r="G26" s="87">
        <f>E26/D26*100</f>
        <v>100.36946449815638</v>
      </c>
      <c r="H26" s="226" t="s">
        <v>42</v>
      </c>
      <c r="I26" s="182"/>
      <c r="K26" s="88"/>
    </row>
    <row r="27" spans="1:11" ht="20.100000000000001" customHeight="1" x14ac:dyDescent="0.15">
      <c r="A27" s="198"/>
      <c r="B27" s="56"/>
      <c r="C27" s="56"/>
      <c r="D27" s="190"/>
      <c r="E27" s="190"/>
      <c r="F27" s="191"/>
      <c r="G27" s="192"/>
      <c r="H27" s="226" t="s">
        <v>172</v>
      </c>
      <c r="I27" s="182"/>
    </row>
    <row r="28" spans="1:11" ht="20.100000000000001" customHeight="1" x14ac:dyDescent="0.15">
      <c r="A28" s="55"/>
      <c r="B28" s="56"/>
      <c r="C28" s="56"/>
      <c r="D28" s="190"/>
      <c r="E28" s="190"/>
      <c r="F28" s="191"/>
      <c r="G28" s="192"/>
      <c r="H28" s="228" t="s">
        <v>173</v>
      </c>
      <c r="I28" s="182">
        <f>11463940*2</f>
        <v>22927880</v>
      </c>
    </row>
    <row r="29" spans="1:11" ht="20.100000000000001" customHeight="1" x14ac:dyDescent="0.15">
      <c r="A29" s="198"/>
      <c r="B29" s="56"/>
      <c r="C29" s="56"/>
      <c r="D29" s="190"/>
      <c r="E29" s="190"/>
      <c r="F29" s="191"/>
      <c r="G29" s="192"/>
      <c r="H29" s="226" t="s">
        <v>215</v>
      </c>
      <c r="I29" s="182"/>
    </row>
    <row r="30" spans="1:11" ht="19.5" customHeight="1" x14ac:dyDescent="0.15">
      <c r="A30" s="55"/>
      <c r="B30" s="56"/>
      <c r="C30" s="56"/>
      <c r="D30" s="190"/>
      <c r="E30" s="190"/>
      <c r="F30" s="191"/>
      <c r="G30" s="192"/>
      <c r="H30" s="226" t="s">
        <v>214</v>
      </c>
      <c r="I30" s="182">
        <v>1060000</v>
      </c>
    </row>
    <row r="31" spans="1:11" ht="20.100000000000001" customHeight="1" x14ac:dyDescent="0.15">
      <c r="A31" s="55"/>
      <c r="B31" s="56"/>
      <c r="C31" s="56"/>
      <c r="D31" s="190"/>
      <c r="E31" s="190"/>
      <c r="F31" s="191"/>
      <c r="G31" s="199"/>
      <c r="H31" s="226" t="s">
        <v>216</v>
      </c>
      <c r="I31" s="182"/>
    </row>
    <row r="32" spans="1:11" ht="20.100000000000001" customHeight="1" x14ac:dyDescent="0.15">
      <c r="A32" s="55"/>
      <c r="B32" s="56"/>
      <c r="C32" s="56"/>
      <c r="D32" s="190"/>
      <c r="E32" s="190"/>
      <c r="F32" s="191"/>
      <c r="G32" s="192"/>
      <c r="H32" s="226" t="s">
        <v>158</v>
      </c>
      <c r="I32" s="182">
        <f>6625200*1</f>
        <v>6625200</v>
      </c>
      <c r="J32" s="64"/>
    </row>
    <row r="33" spans="1:11" ht="20.100000000000001" customHeight="1" x14ac:dyDescent="0.15">
      <c r="A33" s="55"/>
      <c r="B33" s="56"/>
      <c r="C33" s="56"/>
      <c r="D33" s="190"/>
      <c r="E33" s="190"/>
      <c r="F33" s="191"/>
      <c r="G33" s="192"/>
      <c r="H33" s="226" t="s">
        <v>231</v>
      </c>
      <c r="I33" s="182"/>
      <c r="J33" s="180"/>
    </row>
    <row r="34" spans="1:11" ht="20.100000000000001" customHeight="1" x14ac:dyDescent="0.15">
      <c r="A34" s="55"/>
      <c r="B34" s="56"/>
      <c r="C34" s="56"/>
      <c r="D34" s="190"/>
      <c r="E34" s="190"/>
      <c r="F34" s="191"/>
      <c r="G34" s="192"/>
      <c r="H34" s="226" t="s">
        <v>229</v>
      </c>
      <c r="I34" s="182">
        <f>100000*6*3</f>
        <v>1800000</v>
      </c>
    </row>
    <row r="35" spans="1:11" ht="20.100000000000001" customHeight="1" x14ac:dyDescent="0.15">
      <c r="A35" s="55"/>
      <c r="B35" s="56"/>
      <c r="C35" s="56"/>
      <c r="D35" s="190"/>
      <c r="E35" s="190"/>
      <c r="F35" s="191"/>
      <c r="G35" s="192"/>
      <c r="H35" s="226" t="s">
        <v>190</v>
      </c>
      <c r="I35" s="182"/>
    </row>
    <row r="36" spans="1:11" ht="20.100000000000001" customHeight="1" x14ac:dyDescent="0.15">
      <c r="A36" s="55"/>
      <c r="B36" s="56"/>
      <c r="C36" s="56"/>
      <c r="D36" s="190"/>
      <c r="E36" s="190"/>
      <c r="F36" s="191"/>
      <c r="G36" s="200"/>
      <c r="H36" s="226" t="s">
        <v>189</v>
      </c>
      <c r="I36" s="201">
        <f>15530*12</f>
        <v>186360</v>
      </c>
    </row>
    <row r="37" spans="1:11" ht="20.100000000000001" customHeight="1" x14ac:dyDescent="0.15">
      <c r="A37" s="55"/>
      <c r="B37" s="56"/>
      <c r="C37" s="202" t="s">
        <v>70</v>
      </c>
      <c r="D37" s="188">
        <v>22941420</v>
      </c>
      <c r="E37" s="188">
        <f>I38</f>
        <v>22941420</v>
      </c>
      <c r="F37" s="188">
        <f>E37-D37</f>
        <v>0</v>
      </c>
      <c r="G37" s="85">
        <f>E37/D37*100</f>
        <v>100</v>
      </c>
      <c r="H37" s="229" t="s">
        <v>70</v>
      </c>
      <c r="I37" s="203"/>
    </row>
    <row r="38" spans="1:11" ht="20.100000000000001" customHeight="1" x14ac:dyDescent="0.15">
      <c r="A38" s="55"/>
      <c r="B38" s="56"/>
      <c r="C38" s="56"/>
      <c r="D38" s="190"/>
      <c r="E38" s="190"/>
      <c r="F38" s="191"/>
      <c r="G38" s="200"/>
      <c r="H38" s="226" t="s">
        <v>200</v>
      </c>
      <c r="I38" s="201">
        <f>22941420*1</f>
        <v>22941420</v>
      </c>
      <c r="K38" s="64"/>
    </row>
    <row r="39" spans="1:11" ht="20.100000000000001" customHeight="1" x14ac:dyDescent="0.15">
      <c r="A39" s="55"/>
      <c r="B39" s="56"/>
      <c r="C39" s="43" t="s">
        <v>43</v>
      </c>
      <c r="D39" s="188">
        <v>25187833.737223998</v>
      </c>
      <c r="E39" s="188">
        <f>SUM(I40:I45)</f>
        <v>25187833.737223998</v>
      </c>
      <c r="F39" s="188">
        <f>E39-D39</f>
        <v>0</v>
      </c>
      <c r="G39" s="85">
        <f>E39/D39*100</f>
        <v>100</v>
      </c>
      <c r="H39" s="229" t="s">
        <v>44</v>
      </c>
      <c r="I39" s="182"/>
      <c r="K39" s="64"/>
    </row>
    <row r="40" spans="1:11" ht="20.100000000000001" customHeight="1" x14ac:dyDescent="0.15">
      <c r="A40" s="55"/>
      <c r="B40" s="56"/>
      <c r="C40" s="56"/>
      <c r="D40" s="190"/>
      <c r="E40" s="190"/>
      <c r="F40" s="191"/>
      <c r="G40" s="192"/>
      <c r="H40" s="226" t="s">
        <v>193</v>
      </c>
      <c r="I40" s="182">
        <f>242817600*4.5%</f>
        <v>10926792</v>
      </c>
      <c r="K40" s="64"/>
    </row>
    <row r="41" spans="1:11" ht="20.100000000000001" customHeight="1" x14ac:dyDescent="0.15">
      <c r="A41" s="55"/>
      <c r="B41" s="56"/>
      <c r="C41" s="56"/>
      <c r="D41" s="190"/>
      <c r="E41" s="190"/>
      <c r="F41" s="191"/>
      <c r="G41" s="192"/>
      <c r="H41" s="228" t="s">
        <v>194</v>
      </c>
      <c r="I41" s="182">
        <f>242817600*3.495%</f>
        <v>8486475.120000001</v>
      </c>
      <c r="K41" s="64"/>
    </row>
    <row r="42" spans="1:11" ht="20.100000000000001" customHeight="1" x14ac:dyDescent="0.15">
      <c r="A42" s="55"/>
      <c r="B42" s="56"/>
      <c r="C42" s="56"/>
      <c r="D42" s="190"/>
      <c r="E42" s="190"/>
      <c r="F42" s="191"/>
      <c r="G42" s="192"/>
      <c r="H42" s="226" t="s">
        <v>177</v>
      </c>
      <c r="I42" s="182">
        <f>I41*12.27%</f>
        <v>1041290.497224</v>
      </c>
      <c r="K42" s="64"/>
    </row>
    <row r="43" spans="1:11" ht="20.100000000000001" customHeight="1" x14ac:dyDescent="0.15">
      <c r="A43" s="55"/>
      <c r="B43" s="56"/>
      <c r="C43" s="56"/>
      <c r="D43" s="190"/>
      <c r="E43" s="190"/>
      <c r="F43" s="191"/>
      <c r="G43" s="192"/>
      <c r="H43" s="226" t="s">
        <v>195</v>
      </c>
      <c r="I43" s="182">
        <f>200629200*1.35%</f>
        <v>2708494.2</v>
      </c>
    </row>
    <row r="44" spans="1:11" ht="20.100000000000001" customHeight="1" x14ac:dyDescent="0.15">
      <c r="A44" s="55"/>
      <c r="B44" s="56"/>
      <c r="C44" s="56"/>
      <c r="D44" s="190"/>
      <c r="E44" s="190"/>
      <c r="F44" s="191"/>
      <c r="G44" s="192"/>
      <c r="H44" s="226" t="s">
        <v>196</v>
      </c>
      <c r="I44" s="182">
        <f>200629200*0.76%</f>
        <v>1524781.92</v>
      </c>
    </row>
    <row r="45" spans="1:11" ht="20.100000000000001" customHeight="1" x14ac:dyDescent="0.15">
      <c r="A45" s="55"/>
      <c r="B45" s="56"/>
      <c r="C45" s="56"/>
      <c r="D45" s="190"/>
      <c r="E45" s="190"/>
      <c r="F45" s="191"/>
      <c r="G45" s="192"/>
      <c r="H45" s="226" t="s">
        <v>176</v>
      </c>
      <c r="I45" s="182">
        <f>500000*1</f>
        <v>500000</v>
      </c>
    </row>
    <row r="46" spans="1:11" ht="20.100000000000001" customHeight="1" x14ac:dyDescent="0.15">
      <c r="A46" s="55"/>
      <c r="B46" s="56"/>
      <c r="C46" s="43" t="s">
        <v>45</v>
      </c>
      <c r="D46" s="188">
        <v>2340000</v>
      </c>
      <c r="E46" s="188">
        <f>I47+I49+I48</f>
        <v>2340000</v>
      </c>
      <c r="F46" s="188">
        <f>E46-D46</f>
        <v>0</v>
      </c>
      <c r="G46" s="85">
        <f>E46/D46*100</f>
        <v>100</v>
      </c>
      <c r="H46" s="229" t="s">
        <v>45</v>
      </c>
      <c r="I46" s="203"/>
    </row>
    <row r="47" spans="1:11" ht="20.100000000000001" customHeight="1" x14ac:dyDescent="0.15">
      <c r="A47" s="55"/>
      <c r="B47" s="56"/>
      <c r="C47" s="56"/>
      <c r="D47" s="190"/>
      <c r="E47" s="190"/>
      <c r="F47" s="191"/>
      <c r="G47" s="192"/>
      <c r="H47" s="226" t="s">
        <v>141</v>
      </c>
      <c r="I47" s="182">
        <f>1850000*1</f>
        <v>1850000</v>
      </c>
    </row>
    <row r="48" spans="1:11" ht="20.100000000000001" customHeight="1" x14ac:dyDescent="0.15">
      <c r="A48" s="55"/>
      <c r="B48" s="56"/>
      <c r="C48" s="56"/>
      <c r="D48" s="190"/>
      <c r="E48" s="190"/>
      <c r="F48" s="191"/>
      <c r="G48" s="192"/>
      <c r="H48" s="228" t="s">
        <v>142</v>
      </c>
      <c r="I48" s="182">
        <f>90000*1</f>
        <v>90000</v>
      </c>
    </row>
    <row r="49" spans="1:12" ht="19.5" customHeight="1" x14ac:dyDescent="0.15">
      <c r="A49" s="124"/>
      <c r="B49" s="122"/>
      <c r="C49" s="122"/>
      <c r="D49" s="194"/>
      <c r="E49" s="194"/>
      <c r="F49" s="195"/>
      <c r="G49" s="196"/>
      <c r="H49" s="250" t="s">
        <v>143</v>
      </c>
      <c r="I49" s="197">
        <f>200000*2</f>
        <v>400000</v>
      </c>
    </row>
    <row r="50" spans="1:12" ht="20.100000000000001" customHeight="1" x14ac:dyDescent="0.15">
      <c r="A50" s="198"/>
      <c r="B50" s="207" t="s">
        <v>46</v>
      </c>
      <c r="C50" s="208"/>
      <c r="D50" s="205">
        <v>1200000</v>
      </c>
      <c r="E50" s="205">
        <f>E51+E53</f>
        <v>1200000</v>
      </c>
      <c r="F50" s="205">
        <f t="shared" ref="F50:F53" si="2">E50-D50</f>
        <v>0</v>
      </c>
      <c r="G50" s="82">
        <f>E50/D50*100</f>
        <v>100</v>
      </c>
      <c r="H50" s="230" t="s">
        <v>46</v>
      </c>
      <c r="I50" s="201"/>
    </row>
    <row r="51" spans="1:12" ht="20.100000000000001" customHeight="1" x14ac:dyDescent="0.15">
      <c r="A51" s="55"/>
      <c r="B51" s="56"/>
      <c r="C51" s="209" t="s">
        <v>47</v>
      </c>
      <c r="D51" s="188">
        <v>600000</v>
      </c>
      <c r="E51" s="188">
        <f>I52</f>
        <v>600000</v>
      </c>
      <c r="F51" s="188">
        <f t="shared" si="2"/>
        <v>0</v>
      </c>
      <c r="G51" s="90">
        <f t="shared" ref="G51:G58" si="3">E51/D51*100</f>
        <v>100</v>
      </c>
      <c r="H51" s="229" t="s">
        <v>47</v>
      </c>
      <c r="I51" s="203"/>
    </row>
    <row r="52" spans="1:12" ht="20.100000000000001" customHeight="1" x14ac:dyDescent="0.15">
      <c r="A52" s="55"/>
      <c r="B52" s="56"/>
      <c r="C52" s="57"/>
      <c r="D52" s="205"/>
      <c r="E52" s="205"/>
      <c r="F52" s="205"/>
      <c r="G52" s="82"/>
      <c r="H52" s="230" t="s">
        <v>110</v>
      </c>
      <c r="I52" s="201">
        <f>150000*4</f>
        <v>600000</v>
      </c>
    </row>
    <row r="53" spans="1:12" ht="20.100000000000001" customHeight="1" x14ac:dyDescent="0.15">
      <c r="A53" s="55"/>
      <c r="B53" s="56"/>
      <c r="C53" s="209" t="s">
        <v>48</v>
      </c>
      <c r="D53" s="188">
        <v>600000</v>
      </c>
      <c r="E53" s="188">
        <f>I54</f>
        <v>600000</v>
      </c>
      <c r="F53" s="188">
        <f t="shared" si="2"/>
        <v>0</v>
      </c>
      <c r="G53" s="90">
        <f t="shared" si="3"/>
        <v>100</v>
      </c>
      <c r="H53" s="229" t="s">
        <v>48</v>
      </c>
      <c r="I53" s="203"/>
    </row>
    <row r="54" spans="1:12" s="210" customFormat="1" ht="20.100000000000001" customHeight="1" x14ac:dyDescent="0.15">
      <c r="A54" s="204"/>
      <c r="B54" s="207"/>
      <c r="C54" s="57"/>
      <c r="D54" s="205"/>
      <c r="E54" s="205"/>
      <c r="F54" s="205"/>
      <c r="G54" s="82"/>
      <c r="H54" s="230" t="s">
        <v>247</v>
      </c>
      <c r="I54" s="201">
        <f>150000*4</f>
        <v>600000</v>
      </c>
      <c r="L54" s="211"/>
    </row>
    <row r="55" spans="1:12" ht="20.100000000000001" customHeight="1" x14ac:dyDescent="0.15">
      <c r="A55" s="198"/>
      <c r="B55" s="207" t="s">
        <v>49</v>
      </c>
      <c r="C55" s="208"/>
      <c r="D55" s="205">
        <v>43110000</v>
      </c>
      <c r="E55" s="205">
        <f>E56+E58+E64+E67+E73+E76</f>
        <v>38644000</v>
      </c>
      <c r="F55" s="205">
        <f t="shared" ref="F55:F58" si="4">E55-D55</f>
        <v>-4466000</v>
      </c>
      <c r="G55" s="82">
        <f t="shared" si="3"/>
        <v>89.640454650893062</v>
      </c>
      <c r="H55" s="230" t="s">
        <v>49</v>
      </c>
      <c r="I55" s="201"/>
    </row>
    <row r="56" spans="1:12" ht="20.100000000000001" customHeight="1" x14ac:dyDescent="0.15">
      <c r="A56" s="55"/>
      <c r="B56" s="56"/>
      <c r="C56" s="43" t="s">
        <v>50</v>
      </c>
      <c r="D56" s="188">
        <v>400000</v>
      </c>
      <c r="E56" s="188">
        <f>I57</f>
        <v>400000</v>
      </c>
      <c r="F56" s="188">
        <f t="shared" si="4"/>
        <v>0</v>
      </c>
      <c r="G56" s="90">
        <f t="shared" si="3"/>
        <v>100</v>
      </c>
      <c r="H56" s="229" t="s">
        <v>50</v>
      </c>
      <c r="I56" s="203"/>
    </row>
    <row r="57" spans="1:12" ht="20.100000000000001" customHeight="1" x14ac:dyDescent="0.15">
      <c r="A57" s="55"/>
      <c r="B57" s="61"/>
      <c r="C57" s="56"/>
      <c r="D57" s="190"/>
      <c r="E57" s="190"/>
      <c r="F57" s="190"/>
      <c r="G57" s="90"/>
      <c r="H57" s="230" t="s">
        <v>250</v>
      </c>
      <c r="I57" s="201">
        <f>100000*4</f>
        <v>400000</v>
      </c>
    </row>
    <row r="58" spans="1:12" ht="20.100000000000001" customHeight="1" x14ac:dyDescent="0.15">
      <c r="A58" s="55"/>
      <c r="B58" s="56"/>
      <c r="C58" s="43" t="s">
        <v>51</v>
      </c>
      <c r="D58" s="188">
        <v>13304000</v>
      </c>
      <c r="E58" s="188">
        <f>SUM(I59:I63)</f>
        <v>13304000</v>
      </c>
      <c r="F58" s="188">
        <f t="shared" si="4"/>
        <v>0</v>
      </c>
      <c r="G58" s="85">
        <f t="shared" si="3"/>
        <v>100</v>
      </c>
      <c r="H58" s="229" t="s">
        <v>51</v>
      </c>
      <c r="I58" s="203"/>
    </row>
    <row r="59" spans="1:12" ht="20.100000000000001" customHeight="1" x14ac:dyDescent="0.15">
      <c r="A59" s="55"/>
      <c r="B59" s="56"/>
      <c r="C59" s="56"/>
      <c r="D59" s="190"/>
      <c r="E59" s="190"/>
      <c r="F59" s="190"/>
      <c r="G59" s="192"/>
      <c r="H59" s="226" t="s">
        <v>156</v>
      </c>
      <c r="I59" s="182">
        <f>340600*8</f>
        <v>2724800</v>
      </c>
    </row>
    <row r="60" spans="1:12" ht="20.100000000000001" customHeight="1" x14ac:dyDescent="0.15">
      <c r="A60" s="198"/>
      <c r="B60" s="61"/>
      <c r="C60" s="56"/>
      <c r="D60" s="190"/>
      <c r="E60" s="190"/>
      <c r="F60" s="190"/>
      <c r="G60" s="192"/>
      <c r="H60" s="226" t="s">
        <v>157</v>
      </c>
      <c r="I60" s="182">
        <f>204600*12</f>
        <v>2455200</v>
      </c>
    </row>
    <row r="61" spans="1:12" ht="20.100000000000001" customHeight="1" x14ac:dyDescent="0.15">
      <c r="A61" s="55"/>
      <c r="B61" s="61"/>
      <c r="C61" s="56"/>
      <c r="D61" s="190"/>
      <c r="E61" s="190"/>
      <c r="F61" s="190"/>
      <c r="G61" s="192"/>
      <c r="H61" s="226" t="s">
        <v>116</v>
      </c>
      <c r="I61" s="182">
        <f>300000*4</f>
        <v>1200000</v>
      </c>
    </row>
    <row r="62" spans="1:12" ht="20.100000000000001" customHeight="1" x14ac:dyDescent="0.15">
      <c r="A62" s="55"/>
      <c r="B62" s="61"/>
      <c r="C62" s="56"/>
      <c r="D62" s="190"/>
      <c r="E62" s="190"/>
      <c r="F62" s="190"/>
      <c r="G62" s="192"/>
      <c r="H62" s="226" t="s">
        <v>126</v>
      </c>
      <c r="I62" s="182">
        <f>500000*12</f>
        <v>6000000</v>
      </c>
    </row>
    <row r="63" spans="1:12" ht="20.100000000000001" customHeight="1" x14ac:dyDescent="0.15">
      <c r="A63" s="55"/>
      <c r="B63" s="61"/>
      <c r="C63" s="56"/>
      <c r="D63" s="190"/>
      <c r="E63" s="190"/>
      <c r="F63" s="190"/>
      <c r="G63" s="192"/>
      <c r="H63" s="226" t="s">
        <v>71</v>
      </c>
      <c r="I63" s="182">
        <f>77000*12</f>
        <v>924000</v>
      </c>
    </row>
    <row r="64" spans="1:12" ht="20.100000000000001" customHeight="1" x14ac:dyDescent="0.15">
      <c r="A64" s="55"/>
      <c r="B64" s="56"/>
      <c r="C64" s="43" t="s">
        <v>52</v>
      </c>
      <c r="D64" s="188">
        <v>9240000</v>
      </c>
      <c r="E64" s="188">
        <f>I65+I66</f>
        <v>5640000</v>
      </c>
      <c r="F64" s="188">
        <f t="shared" ref="F64" si="5">E64-D64</f>
        <v>-3600000</v>
      </c>
      <c r="G64" s="85">
        <f t="shared" ref="G64" si="6">E64/D64*100</f>
        <v>61.038961038961034</v>
      </c>
      <c r="H64" s="229" t="s">
        <v>52</v>
      </c>
      <c r="I64" s="203"/>
    </row>
    <row r="65" spans="1:12" ht="20.100000000000001" customHeight="1" x14ac:dyDescent="0.15">
      <c r="A65" s="55"/>
      <c r="B65" s="61"/>
      <c r="C65" s="56"/>
      <c r="D65" s="190"/>
      <c r="E65" s="190"/>
      <c r="F65" s="190"/>
      <c r="G65" s="192"/>
      <c r="H65" s="226" t="s">
        <v>125</v>
      </c>
      <c r="I65" s="182">
        <f>70000*12</f>
        <v>840000</v>
      </c>
    </row>
    <row r="66" spans="1:12" ht="20.100000000000001" customHeight="1" x14ac:dyDescent="0.15">
      <c r="A66" s="55"/>
      <c r="B66" s="61"/>
      <c r="C66" s="56"/>
      <c r="D66" s="190"/>
      <c r="E66" s="190"/>
      <c r="F66" s="190"/>
      <c r="G66" s="192"/>
      <c r="H66" s="226" t="s">
        <v>218</v>
      </c>
      <c r="I66" s="201">
        <f>400000*12</f>
        <v>4800000</v>
      </c>
    </row>
    <row r="67" spans="1:12" ht="20.100000000000001" customHeight="1" x14ac:dyDescent="0.15">
      <c r="A67" s="55"/>
      <c r="B67" s="61"/>
      <c r="C67" s="43" t="s">
        <v>53</v>
      </c>
      <c r="D67" s="188">
        <v>6686000</v>
      </c>
      <c r="E67" s="188">
        <f>I68+I69+I70+I71+I72</f>
        <v>5820000</v>
      </c>
      <c r="F67" s="188">
        <f t="shared" ref="F67" si="7">E67-D67</f>
        <v>-866000</v>
      </c>
      <c r="G67" s="85">
        <f t="shared" ref="G67" si="8">E67/D67*100</f>
        <v>87.047562069997014</v>
      </c>
      <c r="H67" s="229" t="s">
        <v>53</v>
      </c>
      <c r="I67" s="182"/>
    </row>
    <row r="68" spans="1:12" ht="20.100000000000001" customHeight="1" x14ac:dyDescent="0.15">
      <c r="A68" s="55"/>
      <c r="B68" s="61"/>
      <c r="C68" s="56"/>
      <c r="D68" s="190"/>
      <c r="E68" s="190"/>
      <c r="F68" s="190"/>
      <c r="G68" s="192"/>
      <c r="H68" s="226" t="s">
        <v>111</v>
      </c>
      <c r="I68" s="182">
        <f>50000*2</f>
        <v>100000</v>
      </c>
    </row>
    <row r="69" spans="1:12" ht="20.100000000000001" customHeight="1" x14ac:dyDescent="0.15">
      <c r="A69" s="55"/>
      <c r="B69" s="61"/>
      <c r="C69" s="56"/>
      <c r="D69" s="190"/>
      <c r="E69" s="190"/>
      <c r="F69" s="190"/>
      <c r="G69" s="192"/>
      <c r="H69" s="226" t="s">
        <v>155</v>
      </c>
      <c r="I69" s="182">
        <f>500000*2</f>
        <v>1000000</v>
      </c>
    </row>
    <row r="70" spans="1:12" ht="20.100000000000001" customHeight="1" x14ac:dyDescent="0.15">
      <c r="A70" s="55"/>
      <c r="B70" s="61"/>
      <c r="C70" s="56"/>
      <c r="D70" s="190"/>
      <c r="E70" s="190"/>
      <c r="F70" s="190"/>
      <c r="G70" s="192"/>
      <c r="H70" s="226" t="s">
        <v>248</v>
      </c>
      <c r="I70" s="182">
        <f>370000*4</f>
        <v>1480000</v>
      </c>
    </row>
    <row r="71" spans="1:12" ht="20.100000000000001" customHeight="1" x14ac:dyDescent="0.15">
      <c r="A71" s="55"/>
      <c r="B71" s="61"/>
      <c r="C71" s="56"/>
      <c r="D71" s="190"/>
      <c r="E71" s="190"/>
      <c r="F71" s="190"/>
      <c r="G71" s="192"/>
      <c r="H71" s="226" t="s">
        <v>240</v>
      </c>
      <c r="I71" s="182">
        <f>1000000*3</f>
        <v>3000000</v>
      </c>
    </row>
    <row r="72" spans="1:12" ht="20.100000000000001" customHeight="1" x14ac:dyDescent="0.15">
      <c r="A72" s="124"/>
      <c r="B72" s="125"/>
      <c r="C72" s="122"/>
      <c r="D72" s="194"/>
      <c r="E72" s="194"/>
      <c r="F72" s="194"/>
      <c r="G72" s="196"/>
      <c r="H72" s="227" t="s">
        <v>217</v>
      </c>
      <c r="I72" s="197">
        <f>80000*3</f>
        <v>240000</v>
      </c>
    </row>
    <row r="73" spans="1:12" ht="20.100000000000001" customHeight="1" x14ac:dyDescent="0.15">
      <c r="A73" s="198"/>
      <c r="B73" s="61"/>
      <c r="C73" s="56" t="s">
        <v>54</v>
      </c>
      <c r="D73" s="190">
        <v>9600000</v>
      </c>
      <c r="E73" s="190">
        <f>I74+I75</f>
        <v>9600000</v>
      </c>
      <c r="F73" s="190">
        <f t="shared" ref="F73" si="9">E73-D73</f>
        <v>0</v>
      </c>
      <c r="G73" s="87">
        <f t="shared" ref="G73" si="10">E73/D73*100</f>
        <v>100</v>
      </c>
      <c r="H73" s="226" t="s">
        <v>54</v>
      </c>
      <c r="I73" s="182"/>
    </row>
    <row r="74" spans="1:12" ht="20.100000000000001" customHeight="1" x14ac:dyDescent="0.15">
      <c r="A74" s="55"/>
      <c r="B74" s="61"/>
      <c r="C74" s="56"/>
      <c r="D74" s="190"/>
      <c r="E74" s="190"/>
      <c r="F74" s="190"/>
      <c r="G74" s="192"/>
      <c r="H74" s="226" t="s">
        <v>219</v>
      </c>
      <c r="I74" s="182">
        <f>600000*12</f>
        <v>7200000</v>
      </c>
    </row>
    <row r="75" spans="1:12" ht="20.100000000000001" customHeight="1" x14ac:dyDescent="0.15">
      <c r="A75" s="55"/>
      <c r="B75" s="61"/>
      <c r="C75" s="56"/>
      <c r="D75" s="190"/>
      <c r="E75" s="190"/>
      <c r="F75" s="190"/>
      <c r="G75" s="200"/>
      <c r="H75" s="226" t="s">
        <v>235</v>
      </c>
      <c r="I75" s="201">
        <f>200000*3*4</f>
        <v>2400000</v>
      </c>
    </row>
    <row r="76" spans="1:12" ht="20.100000000000001" customHeight="1" x14ac:dyDescent="0.15">
      <c r="A76" s="55"/>
      <c r="B76" s="61"/>
      <c r="C76" s="43" t="s">
        <v>55</v>
      </c>
      <c r="D76" s="188">
        <v>3880000</v>
      </c>
      <c r="E76" s="188">
        <f>I77+I78+I79</f>
        <v>3880000</v>
      </c>
      <c r="F76" s="188">
        <f t="shared" ref="F76" si="11">E76-D76</f>
        <v>0</v>
      </c>
      <c r="G76" s="85">
        <f t="shared" ref="G76" si="12">E76/D76*100</f>
        <v>100</v>
      </c>
      <c r="H76" s="229" t="s">
        <v>55</v>
      </c>
      <c r="I76" s="182"/>
    </row>
    <row r="77" spans="1:12" ht="20.100000000000001" customHeight="1" x14ac:dyDescent="0.15">
      <c r="A77" s="55"/>
      <c r="B77" s="61"/>
      <c r="C77" s="56"/>
      <c r="D77" s="190"/>
      <c r="E77" s="190"/>
      <c r="F77" s="190"/>
      <c r="G77" s="192"/>
      <c r="H77" s="226" t="s">
        <v>137</v>
      </c>
      <c r="I77" s="182">
        <f>285000*12</f>
        <v>3420000</v>
      </c>
    </row>
    <row r="78" spans="1:12" ht="20.100000000000001" customHeight="1" x14ac:dyDescent="0.15">
      <c r="A78" s="55"/>
      <c r="B78" s="61"/>
      <c r="C78" s="56"/>
      <c r="D78" s="190"/>
      <c r="E78" s="190"/>
      <c r="F78" s="190"/>
      <c r="G78" s="192"/>
      <c r="H78" s="226" t="s">
        <v>138</v>
      </c>
      <c r="I78" s="182">
        <f>40000*9</f>
        <v>360000</v>
      </c>
    </row>
    <row r="79" spans="1:12" s="210" customFormat="1" ht="20.100000000000001" customHeight="1" x14ac:dyDescent="0.15">
      <c r="A79" s="204"/>
      <c r="B79" s="207"/>
      <c r="C79" s="57"/>
      <c r="D79" s="205"/>
      <c r="E79" s="205"/>
      <c r="F79" s="205"/>
      <c r="G79" s="200"/>
      <c r="H79" s="230" t="s">
        <v>114</v>
      </c>
      <c r="I79" s="201">
        <f>50000*2</f>
        <v>100000</v>
      </c>
      <c r="L79" s="211"/>
    </row>
    <row r="80" spans="1:12" ht="20.100000000000001" customHeight="1" x14ac:dyDescent="0.15">
      <c r="A80" s="204" t="s">
        <v>27</v>
      </c>
      <c r="B80" s="183"/>
      <c r="C80" s="208"/>
      <c r="D80" s="206">
        <v>6665196</v>
      </c>
      <c r="E80" s="206">
        <f>E81</f>
        <v>6665196</v>
      </c>
      <c r="F80" s="206">
        <f t="shared" si="0"/>
        <v>0</v>
      </c>
      <c r="G80" s="102">
        <f t="shared" ref="G80:G99" si="13">E80/D80*100</f>
        <v>100</v>
      </c>
      <c r="H80" s="230" t="s">
        <v>27</v>
      </c>
      <c r="I80" s="212"/>
    </row>
    <row r="81" spans="1:9" ht="20.100000000000001" customHeight="1" x14ac:dyDescent="0.15">
      <c r="A81" s="252"/>
      <c r="B81" s="96" t="s">
        <v>28</v>
      </c>
      <c r="C81" s="97"/>
      <c r="D81" s="187">
        <v>6665196</v>
      </c>
      <c r="E81" s="187">
        <f>E82+E86</f>
        <v>6665196</v>
      </c>
      <c r="F81" s="187">
        <f t="shared" si="0"/>
        <v>0</v>
      </c>
      <c r="G81" s="82">
        <f t="shared" si="13"/>
        <v>100</v>
      </c>
      <c r="H81" s="231" t="s">
        <v>28</v>
      </c>
      <c r="I81" s="185"/>
    </row>
    <row r="82" spans="1:9" ht="20.100000000000001" customHeight="1" x14ac:dyDescent="0.15">
      <c r="A82" s="252"/>
      <c r="B82" s="163"/>
      <c r="C82" s="43" t="s">
        <v>29</v>
      </c>
      <c r="D82" s="188">
        <v>5815196</v>
      </c>
      <c r="E82" s="188">
        <f>I85+I84+I83</f>
        <v>5815196</v>
      </c>
      <c r="F82" s="188">
        <f t="shared" si="0"/>
        <v>0</v>
      </c>
      <c r="G82" s="90">
        <f t="shared" si="13"/>
        <v>100</v>
      </c>
      <c r="H82" s="232" t="s">
        <v>29</v>
      </c>
      <c r="I82" s="220"/>
    </row>
    <row r="83" spans="1:9" ht="20.100000000000001" customHeight="1" x14ac:dyDescent="0.15">
      <c r="A83" s="213"/>
      <c r="B83" s="92"/>
      <c r="C83" s="56"/>
      <c r="D83" s="190"/>
      <c r="E83" s="190"/>
      <c r="F83" s="190"/>
      <c r="G83" s="90"/>
      <c r="H83" s="248" t="s">
        <v>220</v>
      </c>
      <c r="I83" s="182">
        <f>250000*2</f>
        <v>500000</v>
      </c>
    </row>
    <row r="84" spans="1:9" ht="20.100000000000001" customHeight="1" x14ac:dyDescent="0.15">
      <c r="A84" s="213"/>
      <c r="B84" s="92"/>
      <c r="C84" s="56"/>
      <c r="D84" s="190"/>
      <c r="E84" s="190"/>
      <c r="F84" s="190"/>
      <c r="G84" s="87"/>
      <c r="H84" s="233" t="s">
        <v>191</v>
      </c>
      <c r="I84" s="182">
        <f>204600*12</f>
        <v>2455200</v>
      </c>
    </row>
    <row r="85" spans="1:9" ht="20.100000000000001" customHeight="1" x14ac:dyDescent="0.15">
      <c r="A85" s="213"/>
      <c r="B85" s="163"/>
      <c r="C85" s="57"/>
      <c r="D85" s="205"/>
      <c r="E85" s="205"/>
      <c r="F85" s="205"/>
      <c r="G85" s="102"/>
      <c r="H85" s="233" t="s">
        <v>154</v>
      </c>
      <c r="I85" s="201">
        <f>238333*12</f>
        <v>2859996</v>
      </c>
    </row>
    <row r="86" spans="1:9" ht="20.100000000000001" customHeight="1" x14ac:dyDescent="0.15">
      <c r="A86" s="174"/>
      <c r="B86" s="92"/>
      <c r="C86" s="56" t="s">
        <v>99</v>
      </c>
      <c r="D86" s="190">
        <v>850000</v>
      </c>
      <c r="E86" s="190">
        <f>I87+I88</f>
        <v>850000</v>
      </c>
      <c r="F86" s="190">
        <f t="shared" si="0"/>
        <v>0</v>
      </c>
      <c r="G86" s="87">
        <f t="shared" si="13"/>
        <v>100</v>
      </c>
      <c r="H86" s="232" t="s">
        <v>99</v>
      </c>
      <c r="I86" s="203"/>
    </row>
    <row r="87" spans="1:9" ht="20.100000000000001" customHeight="1" x14ac:dyDescent="0.15">
      <c r="A87" s="213"/>
      <c r="B87" s="163"/>
      <c r="C87" s="56"/>
      <c r="D87" s="190"/>
      <c r="E87" s="190"/>
      <c r="F87" s="190"/>
      <c r="G87" s="90"/>
      <c r="H87" s="233" t="s">
        <v>153</v>
      </c>
      <c r="I87" s="182">
        <f>550000*1</f>
        <v>550000</v>
      </c>
    </row>
    <row r="88" spans="1:9" ht="20.100000000000001" customHeight="1" x14ac:dyDescent="0.15">
      <c r="A88" s="213"/>
      <c r="B88" s="54"/>
      <c r="C88" s="57"/>
      <c r="D88" s="190"/>
      <c r="E88" s="190"/>
      <c r="F88" s="190"/>
      <c r="G88" s="82"/>
      <c r="H88" s="233" t="s">
        <v>115</v>
      </c>
      <c r="I88" s="201">
        <f>300000*1</f>
        <v>300000</v>
      </c>
    </row>
    <row r="89" spans="1:9" ht="20.100000000000001" customHeight="1" x14ac:dyDescent="0.15">
      <c r="A89" s="98" t="s">
        <v>56</v>
      </c>
      <c r="B89" s="183"/>
      <c r="C89" s="97"/>
      <c r="D89" s="184">
        <v>31759000</v>
      </c>
      <c r="E89" s="184">
        <f>E90+E96+E121</f>
        <v>45725000</v>
      </c>
      <c r="F89" s="184">
        <f t="shared" ref="F89:F90" si="14">E89-D89</f>
        <v>13966000</v>
      </c>
      <c r="G89" s="83">
        <f t="shared" si="13"/>
        <v>143.97493623854655</v>
      </c>
      <c r="H89" s="231" t="s">
        <v>56</v>
      </c>
      <c r="I89" s="185"/>
    </row>
    <row r="90" spans="1:9" ht="20.100000000000001" customHeight="1" x14ac:dyDescent="0.15">
      <c r="A90" s="55"/>
      <c r="B90" s="96" t="s">
        <v>49</v>
      </c>
      <c r="C90" s="97"/>
      <c r="D90" s="187">
        <v>16946000</v>
      </c>
      <c r="E90" s="187">
        <f>E91+E94</f>
        <v>21830000</v>
      </c>
      <c r="F90" s="187">
        <f t="shared" si="14"/>
        <v>4884000</v>
      </c>
      <c r="G90" s="82">
        <f t="shared" si="13"/>
        <v>128.82096069868996</v>
      </c>
      <c r="H90" s="231" t="s">
        <v>49</v>
      </c>
      <c r="I90" s="185"/>
    </row>
    <row r="91" spans="1:9" ht="20.100000000000001" customHeight="1" x14ac:dyDescent="0.15">
      <c r="A91" s="55"/>
      <c r="B91" s="56"/>
      <c r="C91" s="43" t="s">
        <v>57</v>
      </c>
      <c r="D91" s="188">
        <v>16796000</v>
      </c>
      <c r="E91" s="188">
        <f>I92+I93</f>
        <v>21680000</v>
      </c>
      <c r="F91" s="188">
        <f>E91-D91</f>
        <v>4884000</v>
      </c>
      <c r="G91" s="85">
        <f t="shared" si="13"/>
        <v>129.0783519885687</v>
      </c>
      <c r="H91" s="226" t="s">
        <v>57</v>
      </c>
      <c r="I91" s="182"/>
    </row>
    <row r="92" spans="1:9" ht="20.100000000000001" customHeight="1" x14ac:dyDescent="0.15">
      <c r="A92" s="55"/>
      <c r="B92" s="56"/>
      <c r="C92" s="56"/>
      <c r="D92" s="190"/>
      <c r="E92" s="190"/>
      <c r="F92" s="190"/>
      <c r="G92" s="87"/>
      <c r="H92" s="226" t="s">
        <v>237</v>
      </c>
      <c r="I92" s="182">
        <f>2400*40*205</f>
        <v>19680000</v>
      </c>
    </row>
    <row r="93" spans="1:9" ht="20.100000000000001" customHeight="1" x14ac:dyDescent="0.15">
      <c r="A93" s="55"/>
      <c r="B93" s="56"/>
      <c r="C93" s="57"/>
      <c r="D93" s="205"/>
      <c r="E93" s="205"/>
      <c r="F93" s="205"/>
      <c r="G93" s="102"/>
      <c r="H93" s="230" t="s">
        <v>236</v>
      </c>
      <c r="I93" s="201">
        <f>2000000*1</f>
        <v>2000000</v>
      </c>
    </row>
    <row r="94" spans="1:9" ht="20.100000000000001" customHeight="1" x14ac:dyDescent="0.15">
      <c r="A94" s="55"/>
      <c r="B94" s="56"/>
      <c r="C94" s="43" t="s">
        <v>58</v>
      </c>
      <c r="D94" s="188">
        <v>150000</v>
      </c>
      <c r="E94" s="188">
        <f>I95</f>
        <v>150000</v>
      </c>
      <c r="F94" s="188">
        <f>E94-D94</f>
        <v>0</v>
      </c>
      <c r="G94" s="85">
        <f t="shared" si="13"/>
        <v>100</v>
      </c>
      <c r="H94" s="229" t="s">
        <v>58</v>
      </c>
      <c r="I94" s="203"/>
    </row>
    <row r="95" spans="1:9" ht="20.100000000000001" customHeight="1" x14ac:dyDescent="0.15">
      <c r="A95" s="204"/>
      <c r="B95" s="207"/>
      <c r="C95" s="57"/>
      <c r="D95" s="205"/>
      <c r="E95" s="205"/>
      <c r="F95" s="205"/>
      <c r="G95" s="82"/>
      <c r="H95" s="230" t="s">
        <v>152</v>
      </c>
      <c r="I95" s="201">
        <f>150000*1</f>
        <v>150000</v>
      </c>
    </row>
    <row r="96" spans="1:9" ht="19.5" customHeight="1" x14ac:dyDescent="0.15">
      <c r="A96" s="198"/>
      <c r="B96" s="61" t="s">
        <v>56</v>
      </c>
      <c r="C96" s="208"/>
      <c r="D96" s="205">
        <v>10090000</v>
      </c>
      <c r="E96" s="190">
        <f>E97+E99+E107+E109+E114+E119+E112</f>
        <v>12222000</v>
      </c>
      <c r="F96" s="190">
        <f t="shared" ref="F96" si="15">E96-D96</f>
        <v>2132000</v>
      </c>
      <c r="G96" s="90">
        <f t="shared" si="13"/>
        <v>121.12983151635281</v>
      </c>
      <c r="H96" s="226" t="s">
        <v>56</v>
      </c>
      <c r="I96" s="201"/>
    </row>
    <row r="97" spans="1:9" ht="19.5" customHeight="1" x14ac:dyDescent="0.15">
      <c r="A97" s="161"/>
      <c r="B97" s="43"/>
      <c r="C97" s="56" t="s">
        <v>106</v>
      </c>
      <c r="D97" s="190">
        <v>600000</v>
      </c>
      <c r="E97" s="188">
        <f>I98</f>
        <v>600000</v>
      </c>
      <c r="F97" s="188">
        <f>E97-D97</f>
        <v>0</v>
      </c>
      <c r="G97" s="85">
        <f t="shared" si="13"/>
        <v>100</v>
      </c>
      <c r="H97" s="229" t="s">
        <v>106</v>
      </c>
      <c r="I97" s="182"/>
    </row>
    <row r="98" spans="1:9" ht="19.5" customHeight="1" x14ac:dyDescent="0.15">
      <c r="A98" s="55"/>
      <c r="B98" s="61"/>
      <c r="C98" s="57"/>
      <c r="D98" s="205"/>
      <c r="E98" s="205"/>
      <c r="F98" s="205"/>
      <c r="G98" s="82"/>
      <c r="H98" s="230" t="s">
        <v>151</v>
      </c>
      <c r="I98" s="182">
        <f>300000*2</f>
        <v>600000</v>
      </c>
    </row>
    <row r="99" spans="1:9" ht="20.100000000000001" customHeight="1" x14ac:dyDescent="0.15">
      <c r="A99" s="55"/>
      <c r="B99" s="56"/>
      <c r="C99" s="56" t="s">
        <v>102</v>
      </c>
      <c r="D99" s="190">
        <v>4020000</v>
      </c>
      <c r="E99" s="190">
        <f>I100+I101+I102+I103+I104+I105+I106</f>
        <v>1890000</v>
      </c>
      <c r="F99" s="190">
        <f t="shared" ref="F99" si="16">E99-D99</f>
        <v>-2130000</v>
      </c>
      <c r="G99" s="85">
        <f t="shared" si="13"/>
        <v>47.014925373134332</v>
      </c>
      <c r="H99" s="234" t="s">
        <v>102</v>
      </c>
      <c r="I99" s="203"/>
    </row>
    <row r="100" spans="1:9" ht="20.100000000000001" customHeight="1" x14ac:dyDescent="0.15">
      <c r="A100" s="55"/>
      <c r="B100" s="56"/>
      <c r="C100" s="56"/>
      <c r="D100" s="190"/>
      <c r="E100" s="190"/>
      <c r="F100" s="191"/>
      <c r="G100" s="192"/>
      <c r="H100" s="234" t="s">
        <v>221</v>
      </c>
      <c r="I100" s="182">
        <f>15000*1</f>
        <v>15000</v>
      </c>
    </row>
    <row r="101" spans="1:9" ht="20.100000000000001" customHeight="1" x14ac:dyDescent="0.15">
      <c r="A101" s="55"/>
      <c r="B101" s="56"/>
      <c r="C101" s="56"/>
      <c r="D101" s="190"/>
      <c r="E101" s="190"/>
      <c r="F101" s="191"/>
      <c r="G101" s="192"/>
      <c r="H101" s="234" t="s">
        <v>127</v>
      </c>
      <c r="I101" s="182">
        <f>50000*12</f>
        <v>600000</v>
      </c>
    </row>
    <row r="102" spans="1:9" ht="20.100000000000001" customHeight="1" x14ac:dyDescent="0.15">
      <c r="A102" s="55"/>
      <c r="B102" s="56"/>
      <c r="C102" s="56"/>
      <c r="D102" s="190"/>
      <c r="E102" s="190"/>
      <c r="F102" s="191"/>
      <c r="G102" s="192"/>
      <c r="H102" s="234" t="s">
        <v>128</v>
      </c>
      <c r="I102" s="182">
        <f>70000*12</f>
        <v>840000</v>
      </c>
    </row>
    <row r="103" spans="1:9" ht="20.100000000000001" customHeight="1" x14ac:dyDescent="0.15">
      <c r="A103" s="55"/>
      <c r="B103" s="56"/>
      <c r="C103" s="56"/>
      <c r="D103" s="190"/>
      <c r="E103" s="190"/>
      <c r="F103" s="191"/>
      <c r="G103" s="192"/>
      <c r="H103" s="234" t="s">
        <v>243</v>
      </c>
      <c r="I103" s="182">
        <f>20000*1</f>
        <v>20000</v>
      </c>
    </row>
    <row r="104" spans="1:9" ht="20.100000000000001" customHeight="1" x14ac:dyDescent="0.15">
      <c r="A104" s="55"/>
      <c r="B104" s="56"/>
      <c r="C104" s="56"/>
      <c r="D104" s="190"/>
      <c r="E104" s="190"/>
      <c r="F104" s="191"/>
      <c r="G104" s="192"/>
      <c r="H104" s="234" t="s">
        <v>149</v>
      </c>
      <c r="I104" s="182">
        <f>100000*2</f>
        <v>200000</v>
      </c>
    </row>
    <row r="105" spans="1:9" ht="20.100000000000001" customHeight="1" x14ac:dyDescent="0.15">
      <c r="A105" s="55"/>
      <c r="B105" s="56"/>
      <c r="C105" s="56"/>
      <c r="D105" s="190"/>
      <c r="E105" s="190"/>
      <c r="F105" s="191"/>
      <c r="G105" s="192"/>
      <c r="H105" s="234" t="s">
        <v>150</v>
      </c>
      <c r="I105" s="182">
        <f>5000*40*1</f>
        <v>200000</v>
      </c>
    </row>
    <row r="106" spans="1:9" ht="20.100000000000001" customHeight="1" x14ac:dyDescent="0.15">
      <c r="A106" s="55"/>
      <c r="B106" s="56"/>
      <c r="C106" s="56"/>
      <c r="D106" s="190"/>
      <c r="E106" s="190"/>
      <c r="F106" s="191"/>
      <c r="G106" s="192"/>
      <c r="H106" s="234" t="s">
        <v>222</v>
      </c>
      <c r="I106" s="182">
        <f>15000*1</f>
        <v>15000</v>
      </c>
    </row>
    <row r="107" spans="1:9" ht="20.100000000000001" customHeight="1" x14ac:dyDescent="0.15">
      <c r="A107" s="198"/>
      <c r="B107" s="56"/>
      <c r="C107" s="56" t="s">
        <v>59</v>
      </c>
      <c r="D107" s="190">
        <v>200000</v>
      </c>
      <c r="E107" s="190">
        <f>I108</f>
        <v>200000</v>
      </c>
      <c r="F107" s="190">
        <f>E107-D107</f>
        <v>0</v>
      </c>
      <c r="G107" s="87">
        <f t="shared" ref="G107" si="17">E107/D107*100</f>
        <v>100</v>
      </c>
      <c r="H107" s="226" t="s">
        <v>59</v>
      </c>
      <c r="I107" s="182"/>
    </row>
    <row r="108" spans="1:9" ht="20.100000000000001" customHeight="1" x14ac:dyDescent="0.15">
      <c r="A108" s="55"/>
      <c r="B108" s="61"/>
      <c r="C108" s="57"/>
      <c r="D108" s="190"/>
      <c r="E108" s="190"/>
      <c r="F108" s="206"/>
      <c r="G108" s="192"/>
      <c r="H108" s="226" t="s">
        <v>239</v>
      </c>
      <c r="I108" s="201">
        <f>50000*4</f>
        <v>200000</v>
      </c>
    </row>
    <row r="109" spans="1:9" ht="20.100000000000001" customHeight="1" x14ac:dyDescent="0.15">
      <c r="A109" s="55"/>
      <c r="B109" s="56"/>
      <c r="C109" s="43" t="s">
        <v>103</v>
      </c>
      <c r="D109" s="188">
        <v>410000</v>
      </c>
      <c r="E109" s="188">
        <f>I110+I111</f>
        <v>310000</v>
      </c>
      <c r="F109" s="188">
        <f>E109-D109</f>
        <v>-100000</v>
      </c>
      <c r="G109" s="85">
        <f t="shared" ref="G109" si="18">E109/D109*100</f>
        <v>75.609756097560975</v>
      </c>
      <c r="H109" s="229" t="s">
        <v>103</v>
      </c>
      <c r="I109" s="182"/>
    </row>
    <row r="110" spans="1:9" ht="20.100000000000001" customHeight="1" x14ac:dyDescent="0.15">
      <c r="A110" s="55"/>
      <c r="B110" s="56"/>
      <c r="C110" s="56"/>
      <c r="D110" s="190"/>
      <c r="E110" s="190"/>
      <c r="F110" s="191"/>
      <c r="G110" s="87"/>
      <c r="H110" s="226" t="s">
        <v>245</v>
      </c>
      <c r="I110" s="182">
        <f>50000*2</f>
        <v>100000</v>
      </c>
    </row>
    <row r="111" spans="1:9" ht="20.100000000000001" customHeight="1" x14ac:dyDescent="0.15">
      <c r="A111" s="55"/>
      <c r="B111" s="56"/>
      <c r="C111" s="56"/>
      <c r="D111" s="190"/>
      <c r="E111" s="190"/>
      <c r="F111" s="191"/>
      <c r="G111" s="102"/>
      <c r="H111" s="226" t="s">
        <v>148</v>
      </c>
      <c r="I111" s="182">
        <f>35000*6</f>
        <v>210000</v>
      </c>
    </row>
    <row r="112" spans="1:9" ht="20.100000000000001" customHeight="1" x14ac:dyDescent="0.15">
      <c r="A112" s="55"/>
      <c r="B112" s="56"/>
      <c r="C112" s="43" t="s">
        <v>226</v>
      </c>
      <c r="D112" s="188">
        <v>0</v>
      </c>
      <c r="E112" s="188">
        <f>I113+I114</f>
        <v>6662000</v>
      </c>
      <c r="F112" s="188">
        <f>E112-D112</f>
        <v>6662000</v>
      </c>
      <c r="G112" s="85"/>
      <c r="H112" s="229" t="s">
        <v>226</v>
      </c>
      <c r="I112" s="203"/>
    </row>
    <row r="113" spans="1:9" ht="20.100000000000001" customHeight="1" x14ac:dyDescent="0.15">
      <c r="A113" s="55"/>
      <c r="B113" s="56"/>
      <c r="C113" s="57"/>
      <c r="D113" s="205"/>
      <c r="E113" s="205"/>
      <c r="F113" s="206"/>
      <c r="G113" s="200"/>
      <c r="H113" s="230" t="s">
        <v>242</v>
      </c>
      <c r="I113" s="201">
        <f>6662000*1</f>
        <v>6662000</v>
      </c>
    </row>
    <row r="114" spans="1:9" ht="20.100000000000001" customHeight="1" x14ac:dyDescent="0.15">
      <c r="A114" s="198"/>
      <c r="B114" s="56"/>
      <c r="C114" s="56" t="s">
        <v>104</v>
      </c>
      <c r="D114" s="190">
        <v>4260000</v>
      </c>
      <c r="E114" s="190">
        <f>I115+I116+I117+I118</f>
        <v>1960000</v>
      </c>
      <c r="F114" s="190">
        <f>E114-D114</f>
        <v>-2300000</v>
      </c>
      <c r="G114" s="87">
        <f t="shared" ref="G114" si="19">E114/D114*100</f>
        <v>46.009389671361504</v>
      </c>
      <c r="H114" s="235" t="s">
        <v>104</v>
      </c>
      <c r="I114" s="182"/>
    </row>
    <row r="115" spans="1:9" ht="20.100000000000001" customHeight="1" x14ac:dyDescent="0.15">
      <c r="A115" s="198"/>
      <c r="B115" s="56"/>
      <c r="C115" s="56"/>
      <c r="D115" s="190"/>
      <c r="E115" s="190"/>
      <c r="F115" s="190"/>
      <c r="G115" s="87"/>
      <c r="H115" s="235" t="s">
        <v>223</v>
      </c>
      <c r="I115" s="182">
        <f>40000*12</f>
        <v>480000</v>
      </c>
    </row>
    <row r="116" spans="1:9" ht="20.100000000000001" customHeight="1" x14ac:dyDescent="0.15">
      <c r="A116" s="55"/>
      <c r="B116" s="56"/>
      <c r="C116" s="56"/>
      <c r="D116" s="190"/>
      <c r="E116" s="190"/>
      <c r="F116" s="190"/>
      <c r="G116" s="87"/>
      <c r="H116" s="235" t="s">
        <v>112</v>
      </c>
      <c r="I116" s="182">
        <f>6000*40*1</f>
        <v>240000</v>
      </c>
    </row>
    <row r="117" spans="1:9" ht="20.100000000000001" customHeight="1" x14ac:dyDescent="0.15">
      <c r="A117" s="55"/>
      <c r="B117" s="56"/>
      <c r="C117" s="56"/>
      <c r="D117" s="190"/>
      <c r="E117" s="190"/>
      <c r="F117" s="190"/>
      <c r="G117" s="87"/>
      <c r="H117" s="235" t="s">
        <v>129</v>
      </c>
      <c r="I117" s="182">
        <f>188000*5</f>
        <v>940000</v>
      </c>
    </row>
    <row r="118" spans="1:9" ht="20.100000000000001" customHeight="1" x14ac:dyDescent="0.15">
      <c r="A118" s="124"/>
      <c r="B118" s="122"/>
      <c r="C118" s="122"/>
      <c r="D118" s="194"/>
      <c r="E118" s="194"/>
      <c r="F118" s="195"/>
      <c r="G118" s="196"/>
      <c r="H118" s="249" t="s">
        <v>147</v>
      </c>
      <c r="I118" s="197">
        <f>150000*2</f>
        <v>300000</v>
      </c>
    </row>
    <row r="119" spans="1:9" ht="20.100000000000001" customHeight="1" x14ac:dyDescent="0.15">
      <c r="A119" s="55"/>
      <c r="B119" s="56"/>
      <c r="C119" s="56" t="s">
        <v>105</v>
      </c>
      <c r="D119" s="190">
        <v>600000</v>
      </c>
      <c r="E119" s="190">
        <f>I120</f>
        <v>600000</v>
      </c>
      <c r="F119" s="190">
        <f>E119-D119</f>
        <v>0</v>
      </c>
      <c r="G119" s="87">
        <f t="shared" ref="G119" si="20">E119/D119*100</f>
        <v>100</v>
      </c>
      <c r="H119" s="235" t="s">
        <v>60</v>
      </c>
      <c r="I119" s="182"/>
    </row>
    <row r="120" spans="1:9" ht="20.100000000000001" customHeight="1" x14ac:dyDescent="0.15">
      <c r="A120" s="55"/>
      <c r="B120" s="56"/>
      <c r="C120" s="56"/>
      <c r="D120" s="190"/>
      <c r="E120" s="190"/>
      <c r="F120" s="191"/>
      <c r="G120" s="192"/>
      <c r="H120" s="235" t="s">
        <v>113</v>
      </c>
      <c r="I120" s="182">
        <f>150000*4</f>
        <v>600000</v>
      </c>
    </row>
    <row r="121" spans="1:9" ht="19.5" customHeight="1" x14ac:dyDescent="0.15">
      <c r="A121" s="55"/>
      <c r="B121" s="96" t="s">
        <v>61</v>
      </c>
      <c r="C121" s="97"/>
      <c r="D121" s="215">
        <v>4723000</v>
      </c>
      <c r="E121" s="215">
        <f>E122+E124+E130+E133</f>
        <v>11673000</v>
      </c>
      <c r="F121" s="215">
        <f>F122+F124+F130+F133</f>
        <v>6950000</v>
      </c>
      <c r="G121" s="83">
        <f t="shared" ref="G121" si="21">E121/D121*100</f>
        <v>247.15223374973533</v>
      </c>
      <c r="H121" s="231" t="s">
        <v>61</v>
      </c>
      <c r="I121" s="185"/>
    </row>
    <row r="122" spans="1:9" ht="20.100000000000001" customHeight="1" x14ac:dyDescent="0.15">
      <c r="A122" s="55"/>
      <c r="B122" s="56"/>
      <c r="C122" s="43" t="s">
        <v>62</v>
      </c>
      <c r="D122" s="188">
        <v>2400000</v>
      </c>
      <c r="E122" s="188">
        <f>I123</f>
        <v>8850000</v>
      </c>
      <c r="F122" s="188">
        <f t="shared" ref="F122" si="22">E122-D122</f>
        <v>6450000</v>
      </c>
      <c r="G122" s="85">
        <f t="shared" ref="G122:G124" si="23">E122/D122*100</f>
        <v>368.75</v>
      </c>
      <c r="H122" s="229" t="s">
        <v>64</v>
      </c>
      <c r="I122" s="182"/>
    </row>
    <row r="123" spans="1:9" ht="20.100000000000001" customHeight="1" x14ac:dyDescent="0.15">
      <c r="A123" s="55"/>
      <c r="B123" s="56"/>
      <c r="C123" s="56"/>
      <c r="D123" s="190"/>
      <c r="E123" s="190"/>
      <c r="F123" s="191"/>
      <c r="G123" s="192"/>
      <c r="H123" s="230" t="s">
        <v>251</v>
      </c>
      <c r="I123" s="201">
        <f>2212500*4</f>
        <v>8850000</v>
      </c>
    </row>
    <row r="124" spans="1:9" ht="20.100000000000001" customHeight="1" x14ac:dyDescent="0.15">
      <c r="A124" s="55"/>
      <c r="B124" s="56"/>
      <c r="C124" s="43" t="s">
        <v>63</v>
      </c>
      <c r="D124" s="188">
        <v>1323000</v>
      </c>
      <c r="E124" s="188">
        <f>I125+I126+I127+I129+I128</f>
        <v>1823000</v>
      </c>
      <c r="F124" s="188">
        <f>E124-D124</f>
        <v>500000</v>
      </c>
      <c r="G124" s="85">
        <f t="shared" si="23"/>
        <v>137.79289493575209</v>
      </c>
      <c r="H124" s="226" t="s">
        <v>65</v>
      </c>
      <c r="I124" s="182"/>
    </row>
    <row r="125" spans="1:9" ht="20.100000000000001" customHeight="1" x14ac:dyDescent="0.15">
      <c r="A125" s="55"/>
      <c r="B125" s="56"/>
      <c r="C125" s="56"/>
      <c r="D125" s="190"/>
      <c r="E125" s="190"/>
      <c r="F125" s="191"/>
      <c r="G125" s="192"/>
      <c r="H125" s="226" t="s">
        <v>230</v>
      </c>
      <c r="I125" s="182">
        <f>500000*2</f>
        <v>1000000</v>
      </c>
    </row>
    <row r="126" spans="1:9" ht="20.100000000000001" customHeight="1" x14ac:dyDescent="0.15">
      <c r="A126" s="55"/>
      <c r="B126" s="56"/>
      <c r="C126" s="56"/>
      <c r="D126" s="190"/>
      <c r="E126" s="190"/>
      <c r="F126" s="191"/>
      <c r="G126" s="192"/>
      <c r="H126" s="226" t="s">
        <v>192</v>
      </c>
      <c r="I126" s="182">
        <f>28000*6</f>
        <v>168000</v>
      </c>
    </row>
    <row r="127" spans="1:9" ht="20.100000000000001" customHeight="1" x14ac:dyDescent="0.15">
      <c r="A127" s="55"/>
      <c r="B127" s="56"/>
      <c r="C127" s="56"/>
      <c r="D127" s="190"/>
      <c r="E127" s="190"/>
      <c r="F127" s="191"/>
      <c r="G127" s="192"/>
      <c r="H127" s="226" t="s">
        <v>175</v>
      </c>
      <c r="I127" s="182">
        <f>35000*1</f>
        <v>35000</v>
      </c>
    </row>
    <row r="128" spans="1:9" ht="20.100000000000001" customHeight="1" x14ac:dyDescent="0.15">
      <c r="A128" s="55"/>
      <c r="B128" s="56"/>
      <c r="C128" s="221"/>
      <c r="D128" s="190"/>
      <c r="E128" s="190"/>
      <c r="F128" s="191"/>
      <c r="G128" s="192"/>
      <c r="H128" s="226" t="s">
        <v>246</v>
      </c>
      <c r="I128" s="115">
        <f>500000*1</f>
        <v>500000</v>
      </c>
    </row>
    <row r="129" spans="1:12" ht="20.100000000000001" customHeight="1" x14ac:dyDescent="0.15">
      <c r="A129" s="124"/>
      <c r="B129" s="122"/>
      <c r="C129" s="216"/>
      <c r="D129" s="194"/>
      <c r="E129" s="194"/>
      <c r="F129" s="195"/>
      <c r="G129" s="196"/>
      <c r="H129" s="227" t="s">
        <v>174</v>
      </c>
      <c r="I129" s="197">
        <f>30000*4</f>
        <v>120000</v>
      </c>
    </row>
    <row r="130" spans="1:12" ht="20.100000000000001" customHeight="1" x14ac:dyDescent="0.15">
      <c r="A130" s="55"/>
      <c r="B130" s="56"/>
      <c r="C130" s="217" t="s">
        <v>72</v>
      </c>
      <c r="D130" s="190">
        <v>800000</v>
      </c>
      <c r="E130" s="190">
        <f>I131+I132</f>
        <v>800000</v>
      </c>
      <c r="F130" s="190">
        <f>E130-D130</f>
        <v>0</v>
      </c>
      <c r="G130" s="87">
        <f t="shared" ref="G130" si="24">E130/D130*100</f>
        <v>100</v>
      </c>
      <c r="H130" s="226" t="s">
        <v>66</v>
      </c>
      <c r="I130" s="182"/>
    </row>
    <row r="131" spans="1:12" ht="20.100000000000001" customHeight="1" x14ac:dyDescent="0.15">
      <c r="A131" s="55"/>
      <c r="B131" s="56"/>
      <c r="C131" s="56"/>
      <c r="D131" s="190"/>
      <c r="E131" s="190"/>
      <c r="F131" s="191"/>
      <c r="G131" s="192"/>
      <c r="H131" s="226" t="s">
        <v>144</v>
      </c>
      <c r="I131" s="182">
        <f>200000*2</f>
        <v>400000</v>
      </c>
    </row>
    <row r="132" spans="1:12" s="210" customFormat="1" ht="20.100000000000001" customHeight="1" x14ac:dyDescent="0.15">
      <c r="A132" s="204"/>
      <c r="B132" s="57"/>
      <c r="C132" s="57"/>
      <c r="D132" s="205"/>
      <c r="E132" s="205"/>
      <c r="F132" s="206"/>
      <c r="G132" s="200"/>
      <c r="H132" s="230" t="s">
        <v>145</v>
      </c>
      <c r="I132" s="201">
        <f>200000*2</f>
        <v>400000</v>
      </c>
      <c r="L132" s="211"/>
    </row>
    <row r="133" spans="1:12" ht="20.100000000000001" customHeight="1" x14ac:dyDescent="0.15">
      <c r="A133" s="55"/>
      <c r="B133" s="56"/>
      <c r="C133" s="56" t="s">
        <v>67</v>
      </c>
      <c r="D133" s="190">
        <v>200000</v>
      </c>
      <c r="E133" s="190">
        <f>I134</f>
        <v>200000</v>
      </c>
      <c r="F133" s="190">
        <f>E133-D133</f>
        <v>0</v>
      </c>
      <c r="G133" s="87">
        <f t="shared" ref="G133" si="25">E133/D133*100</f>
        <v>100</v>
      </c>
      <c r="H133" s="226" t="s">
        <v>67</v>
      </c>
      <c r="I133" s="182"/>
    </row>
    <row r="134" spans="1:12" ht="20.100000000000001" customHeight="1" x14ac:dyDescent="0.15">
      <c r="A134" s="204"/>
      <c r="B134" s="57"/>
      <c r="C134" s="57"/>
      <c r="D134" s="205"/>
      <c r="E134" s="205"/>
      <c r="F134" s="206"/>
      <c r="G134" s="200"/>
      <c r="H134" s="230" t="s">
        <v>146</v>
      </c>
      <c r="I134" s="201">
        <f>100000*2</f>
        <v>200000</v>
      </c>
    </row>
    <row r="135" spans="1:12" ht="20.100000000000001" customHeight="1" x14ac:dyDescent="0.15">
      <c r="A135" s="98" t="s">
        <v>68</v>
      </c>
      <c r="B135" s="99"/>
      <c r="C135" s="99"/>
      <c r="D135" s="218">
        <v>175510</v>
      </c>
      <c r="E135" s="184">
        <f>E136</f>
        <v>175510</v>
      </c>
      <c r="F135" s="184">
        <f t="shared" si="0"/>
        <v>0</v>
      </c>
      <c r="G135" s="82">
        <f t="shared" ref="G135:G139" si="26">E135/D135*100</f>
        <v>100</v>
      </c>
      <c r="H135" s="231" t="s">
        <v>68</v>
      </c>
      <c r="I135" s="185"/>
    </row>
    <row r="136" spans="1:12" ht="20.100000000000001" customHeight="1" x14ac:dyDescent="0.15">
      <c r="A136" s="219"/>
      <c r="B136" s="42" t="s">
        <v>68</v>
      </c>
      <c r="C136" s="97"/>
      <c r="D136" s="187">
        <v>175510</v>
      </c>
      <c r="E136" s="187">
        <f>E137+E139</f>
        <v>175510</v>
      </c>
      <c r="F136" s="188">
        <f t="shared" si="0"/>
        <v>0</v>
      </c>
      <c r="G136" s="83">
        <f t="shared" si="26"/>
        <v>100</v>
      </c>
      <c r="H136" s="231" t="s">
        <v>68</v>
      </c>
      <c r="I136" s="185"/>
    </row>
    <row r="137" spans="1:12" ht="20.100000000000001" customHeight="1" x14ac:dyDescent="0.15">
      <c r="A137" s="198"/>
      <c r="B137" s="56"/>
      <c r="C137" s="56" t="s">
        <v>69</v>
      </c>
      <c r="D137" s="190">
        <v>155510</v>
      </c>
      <c r="E137" s="190">
        <f>I138</f>
        <v>155510</v>
      </c>
      <c r="F137" s="188">
        <f t="shared" si="0"/>
        <v>0</v>
      </c>
      <c r="G137" s="90">
        <f t="shared" si="26"/>
        <v>100</v>
      </c>
      <c r="H137" s="233" t="s">
        <v>69</v>
      </c>
      <c r="I137" s="182"/>
    </row>
    <row r="138" spans="1:12" ht="20.100000000000001" customHeight="1" x14ac:dyDescent="0.15">
      <c r="A138" s="55"/>
      <c r="B138" s="61"/>
      <c r="C138" s="57"/>
      <c r="D138" s="205"/>
      <c r="E138" s="205"/>
      <c r="F138" s="205"/>
      <c r="G138" s="82"/>
      <c r="H138" s="236" t="s">
        <v>238</v>
      </c>
      <c r="I138" s="201">
        <f>155510*1</f>
        <v>155510</v>
      </c>
    </row>
    <row r="139" spans="1:12" ht="20.100000000000001" customHeight="1" x14ac:dyDescent="0.15">
      <c r="A139" s="55"/>
      <c r="B139" s="61"/>
      <c r="C139" s="43" t="s">
        <v>130</v>
      </c>
      <c r="D139" s="188">
        <v>20000</v>
      </c>
      <c r="E139" s="188">
        <f>I140</f>
        <v>20000</v>
      </c>
      <c r="F139" s="188">
        <f t="shared" si="0"/>
        <v>0</v>
      </c>
      <c r="G139" s="85">
        <f t="shared" si="26"/>
        <v>100</v>
      </c>
      <c r="H139" s="232" t="s">
        <v>130</v>
      </c>
      <c r="I139" s="182"/>
    </row>
    <row r="140" spans="1:12" s="210" customFormat="1" ht="20.100000000000001" customHeight="1" x14ac:dyDescent="0.15">
      <c r="A140" s="214"/>
      <c r="B140" s="122"/>
      <c r="C140" s="122"/>
      <c r="D140" s="194"/>
      <c r="E140" s="194"/>
      <c r="F140" s="194"/>
      <c r="G140" s="123"/>
      <c r="H140" s="227" t="s">
        <v>181</v>
      </c>
      <c r="I140" s="197">
        <v>20000</v>
      </c>
      <c r="L140" s="211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9">
    <mergeCell ref="F4:G4"/>
    <mergeCell ref="H4:I5"/>
    <mergeCell ref="A6:C6"/>
    <mergeCell ref="H3:I3"/>
    <mergeCell ref="A81:A82"/>
    <mergeCell ref="A3:C3"/>
    <mergeCell ref="A4:C4"/>
    <mergeCell ref="D4:D5"/>
    <mergeCell ref="E4:E5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74" firstPageNumber="3" orientation="landscape" useFirstPageNumber="1" r:id="rId2"/>
  <headerFooter alignWithMargins="0">
    <oddFooter>&amp;R참좋은기억학교(2022.11.25.)</oddFooter>
  </headerFooter>
  <rowBreaks count="5" manualBreakCount="5">
    <brk id="25" max="8" man="1"/>
    <brk id="49" max="8" man="1"/>
    <brk id="72" max="8" man="1"/>
    <brk id="95" max="8" man="1"/>
    <brk id="11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view="pageBreakPreview" zoomScaleNormal="100" zoomScaleSheetLayoutView="100" workbookViewId="0"/>
  </sheetViews>
  <sheetFormatPr defaultRowHeight="13.5" x14ac:dyDescent="0.15"/>
  <cols>
    <col min="1" max="1" width="11.77734375" style="67" customWidth="1"/>
    <col min="2" max="2" width="13.44140625" style="67" customWidth="1"/>
    <col min="3" max="3" width="15.6640625" style="68" customWidth="1"/>
    <col min="4" max="4" width="12.88671875" style="108" customWidth="1"/>
    <col min="5" max="5" width="12.77734375" style="108" customWidth="1"/>
    <col min="6" max="6" width="12.88671875" style="108" customWidth="1"/>
    <col min="7" max="8" width="10.44140625" style="67" bestFit="1" customWidth="1"/>
    <col min="9" max="16384" width="8.88671875" style="67"/>
  </cols>
  <sheetData>
    <row r="1" spans="1:10" ht="46.5" customHeight="1" x14ac:dyDescent="0.15">
      <c r="A1" s="297" t="s">
        <v>207</v>
      </c>
      <c r="B1" s="298"/>
      <c r="C1" s="298"/>
      <c r="D1" s="298"/>
      <c r="E1" s="298"/>
      <c r="F1" s="299"/>
    </row>
    <row r="2" spans="1:10" ht="23.1" customHeight="1" x14ac:dyDescent="0.15">
      <c r="A2" s="304" t="s">
        <v>132</v>
      </c>
      <c r="B2" s="305"/>
      <c r="C2" s="119"/>
      <c r="D2" s="120"/>
      <c r="E2" s="120"/>
      <c r="F2" s="132"/>
    </row>
    <row r="3" spans="1:10" ht="23.1" customHeight="1" x14ac:dyDescent="0.15">
      <c r="A3" s="306" t="s">
        <v>133</v>
      </c>
      <c r="B3" s="307"/>
      <c r="C3" s="105"/>
      <c r="D3" s="106"/>
      <c r="E3" s="107"/>
      <c r="F3" s="133" t="s">
        <v>134</v>
      </c>
    </row>
    <row r="4" spans="1:10" ht="23.1" customHeight="1" thickBot="1" x14ac:dyDescent="0.2">
      <c r="A4" s="134" t="s">
        <v>2</v>
      </c>
      <c r="B4" s="113" t="s">
        <v>3</v>
      </c>
      <c r="C4" s="113" t="s">
        <v>17</v>
      </c>
      <c r="D4" s="114" t="s">
        <v>211</v>
      </c>
      <c r="E4" s="114" t="s">
        <v>212</v>
      </c>
      <c r="F4" s="135" t="s">
        <v>95</v>
      </c>
      <c r="H4" s="108"/>
    </row>
    <row r="5" spans="1:10" ht="20.100000000000001" customHeight="1" thickTop="1" x14ac:dyDescent="0.15">
      <c r="A5" s="300" t="s">
        <v>93</v>
      </c>
      <c r="B5" s="301"/>
      <c r="C5" s="302"/>
      <c r="D5" s="112">
        <f>'결산추경예산내역-세입'!D6</f>
        <v>408676000</v>
      </c>
      <c r="E5" s="112">
        <f>결산추경예산총괄!D5</f>
        <v>418296000</v>
      </c>
      <c r="F5" s="136">
        <f t="shared" ref="F5:F6" si="0">E5-D5</f>
        <v>9620000</v>
      </c>
      <c r="H5" s="108"/>
    </row>
    <row r="6" spans="1:10" ht="20.100000000000001" customHeight="1" x14ac:dyDescent="0.15">
      <c r="A6" s="137" t="str">
        <f>[1]세입!B7</f>
        <v>입소자부담금수입</v>
      </c>
      <c r="B6" s="70" t="str">
        <f>[1]세입!C8</f>
        <v>입소비용수입</v>
      </c>
      <c r="C6" s="70" t="str">
        <f>[1]세입!D9</f>
        <v>입소비용수입</v>
      </c>
      <c r="D6" s="152">
        <f>'결산추경예산내역-세입'!D8</f>
        <v>49800000</v>
      </c>
      <c r="E6" s="152">
        <f>'결산추경예산내역-세입'!E8</f>
        <v>41000000</v>
      </c>
      <c r="F6" s="138">
        <f t="shared" si="0"/>
        <v>-8800000</v>
      </c>
      <c r="G6" s="108"/>
      <c r="H6" s="108"/>
    </row>
    <row r="7" spans="1:10" ht="20.100000000000001" customHeight="1" x14ac:dyDescent="0.15">
      <c r="A7" s="139"/>
      <c r="B7" s="103"/>
      <c r="C7" s="103"/>
      <c r="D7" s="294" t="s">
        <v>253</v>
      </c>
      <c r="E7" s="295"/>
      <c r="F7" s="296"/>
      <c r="G7" s="108"/>
      <c r="J7" s="67" t="s">
        <v>267</v>
      </c>
    </row>
    <row r="8" spans="1:10" ht="20.100000000000001" customHeight="1" x14ac:dyDescent="0.15">
      <c r="A8" s="137" t="s">
        <v>117</v>
      </c>
      <c r="B8" s="70" t="s">
        <v>117</v>
      </c>
      <c r="C8" s="70" t="s">
        <v>124</v>
      </c>
      <c r="D8" s="69">
        <f>'결산추경예산내역-세입'!D11</f>
        <v>344379936</v>
      </c>
      <c r="E8" s="69">
        <f>'결산추경예산내역-세입'!E11</f>
        <v>361813000</v>
      </c>
      <c r="F8" s="138">
        <f t="shared" ref="F8" si="1">E8-D8</f>
        <v>17433064</v>
      </c>
      <c r="G8" s="108"/>
      <c r="H8" s="108"/>
    </row>
    <row r="9" spans="1:10" ht="20.100000000000001" customHeight="1" x14ac:dyDescent="0.15">
      <c r="A9" s="139"/>
      <c r="B9" s="103"/>
      <c r="C9" s="103"/>
      <c r="D9" s="294" t="s">
        <v>271</v>
      </c>
      <c r="E9" s="303"/>
      <c r="F9" s="296"/>
    </row>
    <row r="10" spans="1:10" ht="20.100000000000001" customHeight="1" x14ac:dyDescent="0.15">
      <c r="A10" s="137" t="s">
        <v>33</v>
      </c>
      <c r="B10" s="70" t="s">
        <v>33</v>
      </c>
      <c r="C10" s="70" t="s">
        <v>35</v>
      </c>
      <c r="D10" s="69">
        <f>'결산추경예산내역-세입'!D19</f>
        <v>0</v>
      </c>
      <c r="E10" s="69">
        <f>'결산추경예산내역-세입'!E19</f>
        <v>300000</v>
      </c>
      <c r="F10" s="138">
        <f t="shared" ref="F10" si="2">E10-D10</f>
        <v>300000</v>
      </c>
      <c r="G10" s="108"/>
      <c r="H10" s="108"/>
    </row>
    <row r="11" spans="1:10" ht="20.100000000000001" customHeight="1" x14ac:dyDescent="0.15">
      <c r="A11" s="139"/>
      <c r="B11" s="103"/>
      <c r="C11" s="103"/>
      <c r="D11" s="294" t="s">
        <v>254</v>
      </c>
      <c r="E11" s="303"/>
      <c r="F11" s="296"/>
    </row>
    <row r="12" spans="1:10" ht="20.100000000000001" customHeight="1" x14ac:dyDescent="0.15">
      <c r="A12" s="140" t="s">
        <v>198</v>
      </c>
      <c r="B12" s="71" t="s">
        <v>199</v>
      </c>
      <c r="C12" s="71" t="s">
        <v>201</v>
      </c>
      <c r="D12" s="162">
        <f>'결산추경예산내역-세입'!D26</f>
        <v>2000000</v>
      </c>
      <c r="E12" s="162">
        <f>'결산추경예산내역-세입'!E26</f>
        <v>3400000</v>
      </c>
      <c r="F12" s="146">
        <f>E12-D12</f>
        <v>1400000</v>
      </c>
    </row>
    <row r="13" spans="1:10" ht="20.100000000000001" customHeight="1" x14ac:dyDescent="0.15">
      <c r="A13" s="140"/>
      <c r="B13" s="71"/>
      <c r="C13" s="71"/>
      <c r="D13" s="294" t="s">
        <v>255</v>
      </c>
      <c r="E13" s="295"/>
      <c r="F13" s="296"/>
    </row>
    <row r="14" spans="1:10" ht="20.100000000000001" customHeight="1" x14ac:dyDescent="0.15">
      <c r="A14" s="137" t="s">
        <v>184</v>
      </c>
      <c r="B14" s="70" t="s">
        <v>185</v>
      </c>
      <c r="C14" s="70" t="s">
        <v>131</v>
      </c>
      <c r="D14" s="127">
        <f>'결산추경예산내역-세입'!D28</f>
        <v>4518979</v>
      </c>
      <c r="E14" s="127">
        <f>'결산추경예산내역-세입'!E28</f>
        <v>3805915</v>
      </c>
      <c r="F14" s="141">
        <f t="shared" ref="F14" si="3">E14-D14</f>
        <v>-713064</v>
      </c>
    </row>
    <row r="15" spans="1:10" ht="23.25" customHeight="1" x14ac:dyDescent="0.15">
      <c r="A15" s="142"/>
      <c r="B15" s="104"/>
      <c r="C15" s="104"/>
      <c r="D15" s="308" t="s">
        <v>183</v>
      </c>
      <c r="E15" s="309"/>
      <c r="F15" s="310"/>
    </row>
    <row r="16" spans="1:10" ht="23.1" customHeight="1" x14ac:dyDescent="0.15">
      <c r="A16" s="143"/>
      <c r="B16" s="72"/>
      <c r="D16" s="73"/>
      <c r="E16" s="74"/>
      <c r="F16" s="144"/>
    </row>
    <row r="17" spans="1:8" ht="23.1" customHeight="1" x14ac:dyDescent="0.15">
      <c r="A17" s="306" t="s">
        <v>135</v>
      </c>
      <c r="B17" s="307"/>
      <c r="D17" s="73"/>
      <c r="E17" s="74"/>
      <c r="F17" s="144" t="s">
        <v>134</v>
      </c>
    </row>
    <row r="18" spans="1:8" ht="23.1" customHeight="1" thickBot="1" x14ac:dyDescent="0.2">
      <c r="A18" s="134" t="s">
        <v>2</v>
      </c>
      <c r="B18" s="113" t="s">
        <v>3</v>
      </c>
      <c r="C18" s="113" t="s">
        <v>17</v>
      </c>
      <c r="D18" s="114" t="s">
        <v>211</v>
      </c>
      <c r="E18" s="114" t="s">
        <v>212</v>
      </c>
      <c r="F18" s="135" t="s">
        <v>95</v>
      </c>
    </row>
    <row r="19" spans="1:8" ht="20.100000000000001" customHeight="1" thickTop="1" x14ac:dyDescent="0.15">
      <c r="A19" s="300" t="s">
        <v>94</v>
      </c>
      <c r="B19" s="301"/>
      <c r="C19" s="302"/>
      <c r="D19" s="75">
        <f>'결산추경예산내역-세출'!D6</f>
        <v>408675999.73722398</v>
      </c>
      <c r="E19" s="75">
        <f>결산추경예산총괄!D5</f>
        <v>418296000</v>
      </c>
      <c r="F19" s="136">
        <f t="shared" ref="F19" si="4">E19-D19</f>
        <v>9620000.2627760172</v>
      </c>
      <c r="G19" s="108"/>
      <c r="H19" s="108"/>
    </row>
    <row r="20" spans="1:8" ht="20.100000000000001" customHeight="1" x14ac:dyDescent="0.15">
      <c r="A20" s="145" t="str">
        <f>[1]세출!B8</f>
        <v>사무비</v>
      </c>
      <c r="B20" s="94" t="str">
        <f>[1]세출!C9</f>
        <v>인건비</v>
      </c>
      <c r="C20" s="94" t="s">
        <v>256</v>
      </c>
      <c r="D20" s="69">
        <v>32479440</v>
      </c>
      <c r="E20" s="69">
        <v>32599440</v>
      </c>
      <c r="F20" s="148">
        <v>120000</v>
      </c>
      <c r="G20" s="108"/>
      <c r="H20" s="108"/>
    </row>
    <row r="21" spans="1:8" ht="20.100000000000001" customHeight="1" x14ac:dyDescent="0.15">
      <c r="A21" s="147"/>
      <c r="B21" s="95"/>
      <c r="C21" s="95"/>
      <c r="D21" s="294" t="s">
        <v>263</v>
      </c>
      <c r="E21" s="295"/>
      <c r="F21" s="296"/>
    </row>
    <row r="22" spans="1:8" ht="18.75" customHeight="1" x14ac:dyDescent="0.15">
      <c r="A22" s="147"/>
      <c r="B22" s="70" t="s">
        <v>182</v>
      </c>
      <c r="C22" s="94" t="str">
        <f>'결산추경예산내역-세출'!C64</f>
        <v>공공요금</v>
      </c>
      <c r="D22" s="69">
        <f>'결산추경예산내역-세출'!D64</f>
        <v>9240000</v>
      </c>
      <c r="E22" s="69">
        <f>'결산추경예산내역-세출'!E64</f>
        <v>5640000</v>
      </c>
      <c r="F22" s="149">
        <f>E22-D22</f>
        <v>-3600000</v>
      </c>
    </row>
    <row r="23" spans="1:8" ht="20.100000000000001" customHeight="1" x14ac:dyDescent="0.15">
      <c r="A23" s="147"/>
      <c r="B23" s="71"/>
      <c r="C23" s="128"/>
      <c r="D23" s="294" t="s">
        <v>264</v>
      </c>
      <c r="E23" s="295"/>
      <c r="F23" s="296"/>
    </row>
    <row r="24" spans="1:8" ht="20.100000000000001" customHeight="1" x14ac:dyDescent="0.15">
      <c r="A24" s="143"/>
      <c r="B24" s="71"/>
      <c r="C24" s="94" t="str">
        <f>'결산추경예산내역-세출'!C67</f>
        <v>제세공과금</v>
      </c>
      <c r="D24" s="160">
        <f>'결산추경예산내역-세출'!D67</f>
        <v>6686000</v>
      </c>
      <c r="E24" s="160">
        <f>'결산추경예산내역-세출'!E67</f>
        <v>5820000</v>
      </c>
      <c r="F24" s="156">
        <f>E24-D24</f>
        <v>-866000</v>
      </c>
    </row>
    <row r="25" spans="1:8" ht="20.100000000000001" customHeight="1" x14ac:dyDescent="0.15">
      <c r="A25" s="143"/>
      <c r="B25" s="71"/>
      <c r="C25" s="128"/>
      <c r="D25" s="294" t="s">
        <v>265</v>
      </c>
      <c r="E25" s="295"/>
      <c r="F25" s="296"/>
    </row>
    <row r="26" spans="1:8" ht="18.75" customHeight="1" x14ac:dyDescent="0.15">
      <c r="A26" s="161" t="s">
        <v>197</v>
      </c>
      <c r="B26" s="43" t="s">
        <v>49</v>
      </c>
      <c r="C26" s="94" t="str">
        <f>'결산추경예산내역-세출'!C91</f>
        <v>생계비</v>
      </c>
      <c r="D26" s="129">
        <f>'결산추경예산내역-세출'!D91</f>
        <v>16796000</v>
      </c>
      <c r="E26" s="129">
        <f>'결산추경예산내역-세출'!E91</f>
        <v>21680000</v>
      </c>
      <c r="F26" s="151">
        <f>E26-D26</f>
        <v>4884000</v>
      </c>
    </row>
    <row r="27" spans="1:8" ht="19.5" customHeight="1" x14ac:dyDescent="0.15">
      <c r="A27" s="147"/>
      <c r="B27" s="71"/>
      <c r="C27" s="128"/>
      <c r="D27" s="294" t="s">
        <v>257</v>
      </c>
      <c r="E27" s="295"/>
      <c r="F27" s="296"/>
    </row>
    <row r="28" spans="1:8" ht="19.5" customHeight="1" x14ac:dyDescent="0.15">
      <c r="A28" s="147"/>
      <c r="B28" s="70" t="s">
        <v>258</v>
      </c>
      <c r="C28" s="95" t="str">
        <f>'결산추경예산내역-세출'!C99</f>
        <v>재활프로그램사업비</v>
      </c>
      <c r="D28" s="159">
        <f>'결산추경예산내역-세출'!D99</f>
        <v>4020000</v>
      </c>
      <c r="E28" s="159">
        <f>'결산추경예산내역-세출'!E99</f>
        <v>1890000</v>
      </c>
      <c r="F28" s="146">
        <f>E28-D28</f>
        <v>-2130000</v>
      </c>
    </row>
    <row r="29" spans="1:8" ht="19.5" customHeight="1" x14ac:dyDescent="0.15">
      <c r="A29" s="147"/>
      <c r="B29" s="71"/>
      <c r="C29" s="128"/>
      <c r="D29" s="157" t="s">
        <v>260</v>
      </c>
      <c r="E29" s="154"/>
      <c r="F29" s="158"/>
    </row>
    <row r="30" spans="1:8" ht="19.5" customHeight="1" x14ac:dyDescent="0.15">
      <c r="A30" s="147"/>
      <c r="B30" s="71"/>
      <c r="C30" s="95" t="str">
        <f>'결산추경예산내역-세출'!C109</f>
        <v>일상생활지원사업비</v>
      </c>
      <c r="D30" s="159">
        <f>'결산추경예산내역-세출'!D109</f>
        <v>410000</v>
      </c>
      <c r="E30" s="159">
        <f>'결산추경예산내역-세출'!E109</f>
        <v>310000</v>
      </c>
      <c r="F30" s="146">
        <f>E30-D30</f>
        <v>-100000</v>
      </c>
    </row>
    <row r="31" spans="1:8" ht="19.5" customHeight="1" x14ac:dyDescent="0.15">
      <c r="A31" s="147"/>
      <c r="B31" s="71"/>
      <c r="C31" s="128"/>
      <c r="D31" s="157" t="s">
        <v>259</v>
      </c>
      <c r="E31" s="154"/>
      <c r="F31" s="158"/>
    </row>
    <row r="32" spans="1:8" ht="19.5" customHeight="1" x14ac:dyDescent="0.15">
      <c r="A32" s="147"/>
      <c r="B32" s="71"/>
      <c r="C32" s="95" t="str">
        <f>'결산추경예산내역-세출'!C112</f>
        <v>전산인지사업비</v>
      </c>
      <c r="D32" s="159">
        <f>'결산추경예산내역-세출'!D112</f>
        <v>0</v>
      </c>
      <c r="E32" s="159">
        <f>'결산추경예산내역-세출'!E112</f>
        <v>6662000</v>
      </c>
      <c r="F32" s="146">
        <f>E32-D32</f>
        <v>6662000</v>
      </c>
    </row>
    <row r="33" spans="1:6" ht="19.5" customHeight="1" x14ac:dyDescent="0.15">
      <c r="A33" s="147"/>
      <c r="B33" s="71"/>
      <c r="C33" s="128"/>
      <c r="D33" s="157" t="s">
        <v>269</v>
      </c>
      <c r="E33" s="154"/>
      <c r="F33" s="158"/>
    </row>
    <row r="34" spans="1:6" ht="19.5" customHeight="1" x14ac:dyDescent="0.15">
      <c r="A34" s="147"/>
      <c r="B34" s="71"/>
      <c r="C34" s="95" t="str">
        <f>'결산추경예산내역-세출'!C114</f>
        <v>특별사업지원사업비</v>
      </c>
      <c r="D34" s="159">
        <f>'결산추경예산내역-세출'!D114</f>
        <v>4260000</v>
      </c>
      <c r="E34" s="159">
        <f>'결산추경예산내역-세출'!E114</f>
        <v>1960000</v>
      </c>
      <c r="F34" s="146">
        <f>E34-D34</f>
        <v>-2300000</v>
      </c>
    </row>
    <row r="35" spans="1:6" ht="19.5" customHeight="1" x14ac:dyDescent="0.15">
      <c r="A35" s="147"/>
      <c r="B35" s="103"/>
      <c r="C35" s="128"/>
      <c r="D35" s="157" t="s">
        <v>261</v>
      </c>
      <c r="E35" s="154"/>
      <c r="F35" s="158"/>
    </row>
    <row r="36" spans="1:6" ht="19.5" customHeight="1" x14ac:dyDescent="0.15">
      <c r="A36" s="147"/>
      <c r="B36" s="71" t="s">
        <v>262</v>
      </c>
      <c r="C36" s="95" t="str">
        <f>'결산추경예산내역-세출'!C122</f>
        <v>홍보출판사업비</v>
      </c>
      <c r="D36" s="159">
        <f>'결산추경예산내역-세출'!D122</f>
        <v>2400000</v>
      </c>
      <c r="E36" s="159">
        <f>'결산추경예산내역-세출'!E122</f>
        <v>8850000</v>
      </c>
      <c r="F36" s="146">
        <f>E36-D36</f>
        <v>6450000</v>
      </c>
    </row>
    <row r="37" spans="1:6" ht="19.5" customHeight="1" x14ac:dyDescent="0.15">
      <c r="A37" s="150"/>
      <c r="B37" s="103"/>
      <c r="C37" s="128"/>
      <c r="D37" s="157" t="s">
        <v>270</v>
      </c>
      <c r="E37" s="154"/>
      <c r="F37" s="158"/>
    </row>
    <row r="38" spans="1:6" ht="19.5" customHeight="1" x14ac:dyDescent="0.15">
      <c r="A38" s="147"/>
      <c r="B38" s="71"/>
      <c r="C38" s="95" t="str">
        <f>'결산추경예산내역-세출'!C124</f>
        <v>직원연수교육비</v>
      </c>
      <c r="D38" s="159">
        <f>'결산추경예산내역-세출'!D124</f>
        <v>1323000</v>
      </c>
      <c r="E38" s="159">
        <f>'결산추경예산내역-세출'!E124</f>
        <v>1823000</v>
      </c>
      <c r="F38" s="146">
        <f>E38-D38</f>
        <v>500000</v>
      </c>
    </row>
    <row r="39" spans="1:6" ht="19.5" customHeight="1" x14ac:dyDescent="0.15">
      <c r="A39" s="243"/>
      <c r="B39" s="104"/>
      <c r="C39" s="244"/>
      <c r="D39" s="245" t="s">
        <v>266</v>
      </c>
      <c r="E39" s="241"/>
      <c r="F39" s="246"/>
    </row>
    <row r="40" spans="1:6" ht="23.1" customHeight="1" x14ac:dyDescent="0.15">
      <c r="A40" s="78"/>
      <c r="B40" s="68"/>
      <c r="D40" s="74"/>
      <c r="E40" s="74"/>
      <c r="F40" s="79"/>
    </row>
    <row r="41" spans="1:6" ht="23.1" customHeight="1" x14ac:dyDescent="0.15">
      <c r="F41" s="108" t="s">
        <v>268</v>
      </c>
    </row>
    <row r="42" spans="1:6" ht="23.1" customHeight="1" x14ac:dyDescent="0.15"/>
    <row r="43" spans="1:6" ht="23.1" customHeight="1" x14ac:dyDescent="0.15"/>
    <row r="44" spans="1:6" ht="23.1" customHeight="1" x14ac:dyDescent="0.15"/>
    <row r="45" spans="1:6" ht="23.1" customHeight="1" x14ac:dyDescent="0.15"/>
    <row r="46" spans="1:6" ht="23.1" customHeight="1" x14ac:dyDescent="0.15"/>
    <row r="47" spans="1:6" ht="23.1" customHeight="1" x14ac:dyDescent="0.15"/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15">
    <mergeCell ref="D23:F23"/>
    <mergeCell ref="D13:F13"/>
    <mergeCell ref="D27:F27"/>
    <mergeCell ref="D25:F25"/>
    <mergeCell ref="A1:F1"/>
    <mergeCell ref="D7:F7"/>
    <mergeCell ref="A5:C5"/>
    <mergeCell ref="A19:C19"/>
    <mergeCell ref="D21:F21"/>
    <mergeCell ref="D9:F9"/>
    <mergeCell ref="A2:B2"/>
    <mergeCell ref="A3:B3"/>
    <mergeCell ref="D15:F15"/>
    <mergeCell ref="A17:B17"/>
    <mergeCell ref="D11:F11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0" firstPageNumber="10" orientation="portrait" useFirstPageNumber="1" r:id="rId2"/>
  <headerFooter alignWithMargins="0">
    <oddFooter>&amp;R참좋은기억학교(2022.11.25.)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결산추경예산총괄</vt:lpstr>
      <vt:lpstr>결산추경예산내역-세입</vt:lpstr>
      <vt:lpstr>결산추경예산내역-세출</vt:lpstr>
      <vt:lpstr>결산추경예산 변경사유서</vt:lpstr>
      <vt:lpstr>'결산추경예산 변경사유서'!Print_Area</vt:lpstr>
      <vt:lpstr>'결산추경예산내역-세입'!Print_Area</vt:lpstr>
      <vt:lpstr>'결산추경예산내역-세출'!Print_Area</vt:lpstr>
      <vt:lpstr>결산추경예산총괄!Print_Area</vt:lpstr>
      <vt:lpstr>예산총칙!Print_Area</vt:lpstr>
      <vt:lpstr>표지!Print_Area</vt:lpstr>
      <vt:lpstr>'결산추경예산 변경사유서'!Print_Titles</vt:lpstr>
      <vt:lpstr>'결산추경예산내역-세입'!Print_Titles</vt:lpstr>
      <vt:lpstr>'결산추경예산내역-세출'!Print_Titles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2022-12-09T02:21:12Z</cp:lastPrinted>
  <dcterms:created xsi:type="dcterms:W3CDTF">2016-12-07T07:13:09Z</dcterms:created>
  <dcterms:modified xsi:type="dcterms:W3CDTF">2022-12-09T02:21:18Z</dcterms:modified>
</cp:coreProperties>
</file>