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30" windowHeight="11475" activeTab="4"/>
  </bookViews>
  <sheets>
    <sheet name="재가노인지원" sheetId="10" r:id="rId1"/>
    <sheet name="식사배달사업" sheetId="15" r:id="rId2"/>
    <sheet name="방문요양사업" sheetId="22" r:id="rId3"/>
    <sheet name="노인돌봄사업" sheetId="23" r:id="rId4"/>
    <sheet name="특별회계" sheetId="26" r:id="rId5"/>
    <sheet name="세입 (5)" sheetId="27" state="hidden" r:id="rId6"/>
    <sheet name="세출 (5)" sheetId="28" state="hidden" r:id="rId7"/>
    <sheet name="세입 (4)" sheetId="24" state="hidden" r:id="rId8"/>
    <sheet name="세출 (4)" sheetId="25" state="hidden" r:id="rId9"/>
    <sheet name="세입 (3)" sheetId="20" state="hidden" r:id="rId10"/>
    <sheet name="세출 (3)" sheetId="21" state="hidden" r:id="rId11"/>
    <sheet name="세입 (2)" sheetId="16" state="hidden" r:id="rId12"/>
    <sheet name="세출 (2)" sheetId="17" state="hidden" r:id="rId13"/>
    <sheet name="세입" sheetId="8" state="hidden" r:id="rId14"/>
    <sheet name="세출" sheetId="9" state="hidden" r:id="rId15"/>
    <sheet name="변경사유서" sheetId="11" state="hidden" r:id="rId16"/>
  </sheets>
  <externalReferences>
    <externalReference r:id="rId17"/>
    <externalReference r:id="rId18"/>
  </externalReferences>
  <definedNames>
    <definedName name="_xlnm.Print_Area" localSheetId="3">노인돌봄사업!$B$1:$O$35</definedName>
    <definedName name="_xlnm.Print_Area" localSheetId="2">방문요양사업!$B$1:$O$68</definedName>
    <definedName name="_xlnm.Print_Area" localSheetId="15">변경사유서!$A$1:$G$46</definedName>
    <definedName name="_xlnm.Print_Area" localSheetId="13">세입!$B$2:$R$25</definedName>
    <definedName name="_xlnm.Print_Area" localSheetId="11">'세입 (2)'!$B$2:$U$19</definedName>
    <definedName name="_xlnm.Print_Area" localSheetId="9">'세입 (3)'!$B$2:$R$19</definedName>
    <definedName name="_xlnm.Print_Area" localSheetId="7">'세입 (4)'!$B$2:$R$14</definedName>
    <definedName name="_xlnm.Print_Area" localSheetId="5">'세입 (5)'!$B$2:$R$17</definedName>
    <definedName name="_xlnm.Print_Area" localSheetId="14">세출!$B$2:$U$125</definedName>
    <definedName name="_xlnm.Print_Area" localSheetId="12">'세출 (2)'!$B$4:$U$19</definedName>
    <definedName name="_xlnm.Print_Area" localSheetId="10">'세출 (3)'!$B$2:$U$117</definedName>
    <definedName name="_xlnm.Print_Area" localSheetId="8">'세출 (4)'!$B$2:$U$70</definedName>
    <definedName name="_xlnm.Print_Area" localSheetId="1">식사배달사업!$B$1:$O$18</definedName>
    <definedName name="_xlnm.Print_Area" localSheetId="0">재가노인지원!$B$1:$O$65</definedName>
    <definedName name="_xlnm.Print_Area" localSheetId="4">특별회계!$B$1:$O$20</definedName>
    <definedName name="_xlnm.Print_Titles" localSheetId="14">세출!$3:$4</definedName>
    <definedName name="_xlnm.Print_Titles" localSheetId="12">'세출 (2)'!$5:$6</definedName>
    <definedName name="_xlnm.Print_Titles" localSheetId="10">'세출 (3)'!$3:$4</definedName>
    <definedName name="_xlnm.Print_Titles" localSheetId="8">'세출 (4)'!$3:$4</definedName>
    <definedName name="_xlnm.Print_Titles" localSheetId="6">'세출 (5)'!$3:$4</definedName>
  </definedNames>
  <calcPr calcId="125725"/>
</workbook>
</file>

<file path=xl/calcChain.xml><?xml version="1.0" encoding="utf-8"?>
<calcChain xmlns="http://schemas.openxmlformats.org/spreadsheetml/2006/main">
  <c r="U16" i="28"/>
  <c r="F16" s="1"/>
  <c r="G13"/>
  <c r="F12"/>
  <c r="G12" s="1"/>
  <c r="F11"/>
  <c r="G11" s="1"/>
  <c r="G10"/>
  <c r="G9"/>
  <c r="G8"/>
  <c r="G7"/>
  <c r="F7"/>
  <c r="G6"/>
  <c r="F6"/>
  <c r="U5"/>
  <c r="F5" s="1"/>
  <c r="R17" i="27"/>
  <c r="R16" s="1"/>
  <c r="R6" s="1"/>
  <c r="F17"/>
  <c r="G17" s="1"/>
  <c r="G15"/>
  <c r="F15"/>
  <c r="R14"/>
  <c r="F14"/>
  <c r="G14" s="1"/>
  <c r="H13"/>
  <c r="G13"/>
  <c r="G12"/>
  <c r="F12"/>
  <c r="H12" s="1"/>
  <c r="F11"/>
  <c r="G11" s="1"/>
  <c r="G10"/>
  <c r="F10"/>
  <c r="H10" s="1"/>
  <c r="F9"/>
  <c r="G9" s="1"/>
  <c r="G8"/>
  <c r="F8"/>
  <c r="H8" s="1"/>
  <c r="R7"/>
  <c r="F20" i="26"/>
  <c r="G20" s="1"/>
  <c r="E20"/>
  <c r="D20"/>
  <c r="E19"/>
  <c r="E18" s="1"/>
  <c r="C19"/>
  <c r="B18"/>
  <c r="L17"/>
  <c r="L16" s="1"/>
  <c r="L15" s="1"/>
  <c r="K17"/>
  <c r="F17"/>
  <c r="G17" s="1"/>
  <c r="E17"/>
  <c r="J16"/>
  <c r="E16"/>
  <c r="C16"/>
  <c r="I15"/>
  <c r="E15"/>
  <c r="B15"/>
  <c r="M14"/>
  <c r="L14"/>
  <c r="L13" s="1"/>
  <c r="L12" s="1"/>
  <c r="K14"/>
  <c r="F14"/>
  <c r="G14" s="1"/>
  <c r="E14"/>
  <c r="D14"/>
  <c r="M13"/>
  <c r="J13"/>
  <c r="E13"/>
  <c r="C13"/>
  <c r="M12"/>
  <c r="I12"/>
  <c r="E12"/>
  <c r="B12"/>
  <c r="M11"/>
  <c r="L11"/>
  <c r="K11"/>
  <c r="F11"/>
  <c r="H11" s="1"/>
  <c r="E11"/>
  <c r="D11"/>
  <c r="M10"/>
  <c r="L10"/>
  <c r="K10"/>
  <c r="E10"/>
  <c r="D10"/>
  <c r="N9"/>
  <c r="L9"/>
  <c r="K9"/>
  <c r="F9"/>
  <c r="H9" s="1"/>
  <c r="E9"/>
  <c r="E8" s="1"/>
  <c r="E7" s="1"/>
  <c r="E6" s="1"/>
  <c r="D9"/>
  <c r="N8"/>
  <c r="M8"/>
  <c r="L8"/>
  <c r="J8"/>
  <c r="C8"/>
  <c r="M7"/>
  <c r="L7"/>
  <c r="I7"/>
  <c r="L6"/>
  <c r="H16" i="28" l="1"/>
  <c r="M17" i="26"/>
  <c r="G16" i="28"/>
  <c r="F15"/>
  <c r="H5"/>
  <c r="G5"/>
  <c r="M6" i="26"/>
  <c r="N13"/>
  <c r="G9"/>
  <c r="H14"/>
  <c r="N14"/>
  <c r="H17"/>
  <c r="H20"/>
  <c r="H9" i="27"/>
  <c r="H11"/>
  <c r="F10" i="26"/>
  <c r="F13"/>
  <c r="F15"/>
  <c r="F16"/>
  <c r="F19"/>
  <c r="F7" i="27"/>
  <c r="F16"/>
  <c r="G16" s="1"/>
  <c r="H7" l="1"/>
  <c r="F6"/>
  <c r="G7"/>
  <c r="H16" i="26"/>
  <c r="G16"/>
  <c r="H13"/>
  <c r="F12"/>
  <c r="G13"/>
  <c r="N6"/>
  <c r="O6"/>
  <c r="H19"/>
  <c r="G19"/>
  <c r="F18"/>
  <c r="H15"/>
  <c r="G15"/>
  <c r="H10"/>
  <c r="F8"/>
  <c r="G15" i="28"/>
  <c r="F14"/>
  <c r="H15"/>
  <c r="O17" i="26"/>
  <c r="N17"/>
  <c r="M16"/>
  <c r="N16" l="1"/>
  <c r="O16"/>
  <c r="M15"/>
  <c r="H14" i="28"/>
  <c r="G14"/>
  <c r="G8" i="26"/>
  <c r="H8"/>
  <c r="F7"/>
  <c r="G18"/>
  <c r="H18"/>
  <c r="H12"/>
  <c r="G12"/>
  <c r="H6" i="27"/>
  <c r="G6"/>
  <c r="N15" i="26" l="1"/>
  <c r="O15"/>
  <c r="G7"/>
  <c r="H7"/>
  <c r="F6"/>
  <c r="G6" l="1"/>
  <c r="H6"/>
  <c r="V70" i="25" l="1"/>
  <c r="U70"/>
  <c r="U69" s="1"/>
  <c r="U68" s="1"/>
  <c r="F70"/>
  <c r="G70" s="1"/>
  <c r="E69"/>
  <c r="E68"/>
  <c r="U67"/>
  <c r="F67"/>
  <c r="G67" s="1"/>
  <c r="U66"/>
  <c r="F66"/>
  <c r="G66" s="1"/>
  <c r="E66"/>
  <c r="U65"/>
  <c r="E65"/>
  <c r="U64"/>
  <c r="U63"/>
  <c r="U62"/>
  <c r="U61"/>
  <c r="F61"/>
  <c r="G61" s="1"/>
  <c r="U60"/>
  <c r="U59"/>
  <c r="U55" s="1"/>
  <c r="U58"/>
  <c r="G58"/>
  <c r="U57"/>
  <c r="G57"/>
  <c r="U56"/>
  <c r="G56"/>
  <c r="U54"/>
  <c r="G54"/>
  <c r="U53"/>
  <c r="G53"/>
  <c r="U52"/>
  <c r="G52"/>
  <c r="U51"/>
  <c r="G51"/>
  <c r="U50"/>
  <c r="G50"/>
  <c r="U49"/>
  <c r="G49"/>
  <c r="U48"/>
  <c r="F48"/>
  <c r="G48" s="1"/>
  <c r="G47"/>
  <c r="F47"/>
  <c r="H47" s="1"/>
  <c r="E46"/>
  <c r="E45" s="1"/>
  <c r="U44"/>
  <c r="F44" s="1"/>
  <c r="F43"/>
  <c r="G43" s="1"/>
  <c r="E42"/>
  <c r="E41"/>
  <c r="U40"/>
  <c r="U39"/>
  <c r="U38" s="1"/>
  <c r="F38" s="1"/>
  <c r="U37"/>
  <c r="U36" s="1"/>
  <c r="F36" s="1"/>
  <c r="U35"/>
  <c r="U34"/>
  <c r="U33"/>
  <c r="U32" s="1"/>
  <c r="F32" s="1"/>
  <c r="U31"/>
  <c r="U30"/>
  <c r="U29"/>
  <c r="U28"/>
  <c r="F28" s="1"/>
  <c r="U27"/>
  <c r="U26"/>
  <c r="U25"/>
  <c r="U24" s="1"/>
  <c r="U23"/>
  <c r="F23"/>
  <c r="G23" s="1"/>
  <c r="E22"/>
  <c r="U21"/>
  <c r="U20"/>
  <c r="U19"/>
  <c r="G19"/>
  <c r="U18"/>
  <c r="F18" s="1"/>
  <c r="G17"/>
  <c r="G16"/>
  <c r="G15"/>
  <c r="G14"/>
  <c r="G13"/>
  <c r="G11"/>
  <c r="Y9"/>
  <c r="U9"/>
  <c r="U8"/>
  <c r="F8" s="1"/>
  <c r="E7"/>
  <c r="E6"/>
  <c r="E5" s="1"/>
  <c r="R14" i="24"/>
  <c r="G14"/>
  <c r="F14"/>
  <c r="F13"/>
  <c r="G13" s="1"/>
  <c r="R12"/>
  <c r="F12"/>
  <c r="G12" s="1"/>
  <c r="E12"/>
  <c r="R11"/>
  <c r="F11" s="1"/>
  <c r="E10"/>
  <c r="H9"/>
  <c r="G9"/>
  <c r="X8"/>
  <c r="Y8" s="1"/>
  <c r="R8"/>
  <c r="F8"/>
  <c r="G8" s="1"/>
  <c r="X7"/>
  <c r="Y7" s="1"/>
  <c r="R7"/>
  <c r="F7"/>
  <c r="G7" s="1"/>
  <c r="E7"/>
  <c r="E6"/>
  <c r="M35" i="23"/>
  <c r="N35" s="1"/>
  <c r="L35"/>
  <c r="K35"/>
  <c r="M34"/>
  <c r="N34" s="1"/>
  <c r="L34"/>
  <c r="J34"/>
  <c r="M33"/>
  <c r="L33"/>
  <c r="I33"/>
  <c r="L32"/>
  <c r="L31" s="1"/>
  <c r="L30" s="1"/>
  <c r="K32"/>
  <c r="J31"/>
  <c r="I30"/>
  <c r="L29"/>
  <c r="K29"/>
  <c r="L28"/>
  <c r="K28"/>
  <c r="L27"/>
  <c r="K27"/>
  <c r="M26"/>
  <c r="N26" s="1"/>
  <c r="L26"/>
  <c r="K26"/>
  <c r="L25"/>
  <c r="L24" s="1"/>
  <c r="J25"/>
  <c r="I24"/>
  <c r="L23"/>
  <c r="K23"/>
  <c r="M22"/>
  <c r="N22" s="1"/>
  <c r="L22"/>
  <c r="K22"/>
  <c r="L21"/>
  <c r="L20" s="1"/>
  <c r="J21"/>
  <c r="I20"/>
  <c r="L19"/>
  <c r="K19"/>
  <c r="L18"/>
  <c r="K18"/>
  <c r="L17"/>
  <c r="K17"/>
  <c r="L16"/>
  <c r="K16"/>
  <c r="F16"/>
  <c r="G16" s="1"/>
  <c r="E16"/>
  <c r="D16"/>
  <c r="L15"/>
  <c r="K15"/>
  <c r="F15"/>
  <c r="G15" s="1"/>
  <c r="E15"/>
  <c r="D15"/>
  <c r="L14"/>
  <c r="K14"/>
  <c r="F14"/>
  <c r="G14" s="1"/>
  <c r="E14"/>
  <c r="C14"/>
  <c r="L13"/>
  <c r="J13"/>
  <c r="F13"/>
  <c r="G13" s="1"/>
  <c r="E13"/>
  <c r="B13"/>
  <c r="L12"/>
  <c r="K12"/>
  <c r="E12"/>
  <c r="D12"/>
  <c r="L11"/>
  <c r="K11"/>
  <c r="E11"/>
  <c r="C11"/>
  <c r="L10"/>
  <c r="K10"/>
  <c r="E10"/>
  <c r="B10"/>
  <c r="L9"/>
  <c r="K9"/>
  <c r="F9"/>
  <c r="G9" s="1"/>
  <c r="E9"/>
  <c r="D9"/>
  <c r="L8"/>
  <c r="L7" s="1"/>
  <c r="E8"/>
  <c r="C8"/>
  <c r="I7"/>
  <c r="E7"/>
  <c r="E6" s="1"/>
  <c r="B7"/>
  <c r="N33" l="1"/>
  <c r="H18" i="25"/>
  <c r="M12" i="23"/>
  <c r="G18" i="25"/>
  <c r="U22"/>
  <c r="F24"/>
  <c r="G36"/>
  <c r="M18" i="23"/>
  <c r="N18" s="1"/>
  <c r="H44" i="25"/>
  <c r="M23" i="23"/>
  <c r="G44" i="25"/>
  <c r="F42"/>
  <c r="F55"/>
  <c r="U46"/>
  <c r="U45" s="1"/>
  <c r="H11" i="24"/>
  <c r="G11"/>
  <c r="F10"/>
  <c r="F12" i="23"/>
  <c r="H8" i="25"/>
  <c r="M9" i="23"/>
  <c r="G8" i="25"/>
  <c r="H28"/>
  <c r="G28"/>
  <c r="M16" i="23"/>
  <c r="G32" i="25"/>
  <c r="M17" i="23"/>
  <c r="H32" i="25"/>
  <c r="G38"/>
  <c r="M19" i="23"/>
  <c r="N19" s="1"/>
  <c r="L6"/>
  <c r="Q6" s="1"/>
  <c r="Z8" i="24"/>
  <c r="H9" i="23"/>
  <c r="H13"/>
  <c r="H14"/>
  <c r="H15"/>
  <c r="O22"/>
  <c r="O26"/>
  <c r="H7" i="24"/>
  <c r="H8"/>
  <c r="X10"/>
  <c r="H12"/>
  <c r="H13"/>
  <c r="J11" i="25"/>
  <c r="H23"/>
  <c r="H43"/>
  <c r="H66"/>
  <c r="H67"/>
  <c r="F8" i="23"/>
  <c r="M14"/>
  <c r="M21"/>
  <c r="M27"/>
  <c r="N27" s="1"/>
  <c r="M29"/>
  <c r="N29" s="1"/>
  <c r="M32"/>
  <c r="F6" i="24"/>
  <c r="H6" s="1"/>
  <c r="R10"/>
  <c r="R6" s="1"/>
  <c r="U42" i="25"/>
  <c r="U41" s="1"/>
  <c r="F46"/>
  <c r="F65"/>
  <c r="F69"/>
  <c r="F68" l="1"/>
  <c r="G68" s="1"/>
  <c r="G69"/>
  <c r="O32" i="23"/>
  <c r="N32"/>
  <c r="M31"/>
  <c r="O21"/>
  <c r="N21"/>
  <c r="M20"/>
  <c r="H8"/>
  <c r="F7"/>
  <c r="G8"/>
  <c r="G12"/>
  <c r="H12"/>
  <c r="F11"/>
  <c r="G42" i="25"/>
  <c r="F41"/>
  <c r="H42"/>
  <c r="O23" i="23"/>
  <c r="N23"/>
  <c r="G24" i="25"/>
  <c r="M15" i="23"/>
  <c r="H24" i="25"/>
  <c r="F22"/>
  <c r="H46"/>
  <c r="G46"/>
  <c r="G45" s="1"/>
  <c r="F45"/>
  <c r="H45" s="1"/>
  <c r="H65"/>
  <c r="G65"/>
  <c r="O14" i="23"/>
  <c r="M13"/>
  <c r="N14"/>
  <c r="J17" i="25"/>
  <c r="U17" s="1"/>
  <c r="J13"/>
  <c r="U13" s="1"/>
  <c r="U11"/>
  <c r="U10" s="1"/>
  <c r="J16"/>
  <c r="U16" s="1"/>
  <c r="J14"/>
  <c r="U14" s="1"/>
  <c r="J15" s="1"/>
  <c r="U15" s="1"/>
  <c r="O17" i="23"/>
  <c r="N17"/>
  <c r="N16"/>
  <c r="O16"/>
  <c r="O9"/>
  <c r="N9"/>
  <c r="G10" i="24"/>
  <c r="G6" s="1"/>
  <c r="H10"/>
  <c r="M28" i="23"/>
  <c r="N28" s="1"/>
  <c r="G55" i="25"/>
  <c r="O12" i="23"/>
  <c r="N12"/>
  <c r="M25"/>
  <c r="G22" i="25" l="1"/>
  <c r="H22"/>
  <c r="O15" i="23"/>
  <c r="N15"/>
  <c r="N31"/>
  <c r="M30"/>
  <c r="O31"/>
  <c r="U12" i="25"/>
  <c r="F12" s="1"/>
  <c r="O25" i="23"/>
  <c r="N25"/>
  <c r="M24"/>
  <c r="F10" i="25"/>
  <c r="U7"/>
  <c r="U6" s="1"/>
  <c r="U5" s="1"/>
  <c r="U1" s="1"/>
  <c r="O13" i="23"/>
  <c r="N13"/>
  <c r="H41" i="25"/>
  <c r="G41"/>
  <c r="G11" i="23"/>
  <c r="H11"/>
  <c r="F10"/>
  <c r="H7"/>
  <c r="G7"/>
  <c r="F6"/>
  <c r="N20"/>
  <c r="O20"/>
  <c r="G6" l="1"/>
  <c r="H6"/>
  <c r="N24"/>
  <c r="O24"/>
  <c r="G10"/>
  <c r="H10"/>
  <c r="H10" i="25"/>
  <c r="M10" i="23"/>
  <c r="G10" i="25"/>
  <c r="F7"/>
  <c r="G12"/>
  <c r="M11" i="23"/>
  <c r="H12" i="25"/>
  <c r="O30" i="23"/>
  <c r="N30"/>
  <c r="O11" l="1"/>
  <c r="N11"/>
  <c r="H7" i="25"/>
  <c r="F6"/>
  <c r="G7"/>
  <c r="O10" i="23"/>
  <c r="N10"/>
  <c r="M8"/>
  <c r="O8" l="1"/>
  <c r="N8"/>
  <c r="M7"/>
  <c r="H6" i="25"/>
  <c r="G6"/>
  <c r="G5" s="1"/>
  <c r="F5"/>
  <c r="N7" i="23" l="1"/>
  <c r="O7"/>
  <c r="M6"/>
  <c r="Z6" i="25"/>
  <c r="H5"/>
  <c r="P6" i="23" l="1"/>
  <c r="N6"/>
  <c r="O6"/>
  <c r="M68" i="22" l="1"/>
  <c r="N68" s="1"/>
  <c r="L68"/>
  <c r="K68"/>
  <c r="M67"/>
  <c r="O67" s="1"/>
  <c r="L67"/>
  <c r="N67" s="1"/>
  <c r="M66"/>
  <c r="O66" s="1"/>
  <c r="L66"/>
  <c r="N66" s="1"/>
  <c r="I66"/>
  <c r="M65"/>
  <c r="N65" s="1"/>
  <c r="L65"/>
  <c r="K65"/>
  <c r="M64"/>
  <c r="O64" s="1"/>
  <c r="L64"/>
  <c r="N64" s="1"/>
  <c r="M63"/>
  <c r="O63" s="1"/>
  <c r="L63"/>
  <c r="N63" s="1"/>
  <c r="I63"/>
  <c r="M62"/>
  <c r="N62" s="1"/>
  <c r="L62"/>
  <c r="K62"/>
  <c r="M61"/>
  <c r="O61" s="1"/>
  <c r="L61"/>
  <c r="N61" s="1"/>
  <c r="J61"/>
  <c r="M60"/>
  <c r="N60" s="1"/>
  <c r="L60"/>
  <c r="I60"/>
  <c r="M59"/>
  <c r="O59" s="1"/>
  <c r="L59"/>
  <c r="K59"/>
  <c r="M58"/>
  <c r="N58" s="1"/>
  <c r="L58"/>
  <c r="J58"/>
  <c r="M57"/>
  <c r="O57" s="1"/>
  <c r="L57"/>
  <c r="N57" s="1"/>
  <c r="I57"/>
  <c r="M56"/>
  <c r="N56" s="1"/>
  <c r="L56"/>
  <c r="K56"/>
  <c r="M55"/>
  <c r="O55" s="1"/>
  <c r="L55"/>
  <c r="J55"/>
  <c r="M54"/>
  <c r="O54" s="1"/>
  <c r="L54"/>
  <c r="N54" s="1"/>
  <c r="I54"/>
  <c r="M53"/>
  <c r="O53" s="1"/>
  <c r="L53"/>
  <c r="M52"/>
  <c r="O52" s="1"/>
  <c r="L52"/>
  <c r="M51"/>
  <c r="O51" s="1"/>
  <c r="L51"/>
  <c r="M50"/>
  <c r="N50" s="1"/>
  <c r="L50"/>
  <c r="K50"/>
  <c r="M49"/>
  <c r="O49" s="1"/>
  <c r="L49"/>
  <c r="K49"/>
  <c r="M48"/>
  <c r="N48" s="1"/>
  <c r="L48"/>
  <c r="K48"/>
  <c r="M47"/>
  <c r="O47" s="1"/>
  <c r="L47"/>
  <c r="K47"/>
  <c r="M46"/>
  <c r="O46" s="1"/>
  <c r="L46"/>
  <c r="N46" s="1"/>
  <c r="K46"/>
  <c r="M45"/>
  <c r="O45" s="1"/>
  <c r="L45"/>
  <c r="M44"/>
  <c r="O44" s="1"/>
  <c r="L44"/>
  <c r="M40"/>
  <c r="O40" s="1"/>
  <c r="L40"/>
  <c r="K40"/>
  <c r="M39"/>
  <c r="O39" s="1"/>
  <c r="L39"/>
  <c r="N39" s="1"/>
  <c r="K39"/>
  <c r="M38"/>
  <c r="O38" s="1"/>
  <c r="L38"/>
  <c r="M37"/>
  <c r="O37" s="1"/>
  <c r="L37"/>
  <c r="K37"/>
  <c r="M36"/>
  <c r="O36" s="1"/>
  <c r="L36"/>
  <c r="N36" s="1"/>
  <c r="K36"/>
  <c r="M35"/>
  <c r="O35" s="1"/>
  <c r="L35"/>
  <c r="K35"/>
  <c r="M34"/>
  <c r="O34" s="1"/>
  <c r="L34"/>
  <c r="N34" s="1"/>
  <c r="K34"/>
  <c r="M33"/>
  <c r="O33" s="1"/>
  <c r="L33"/>
  <c r="K33"/>
  <c r="M32"/>
  <c r="N32" s="1"/>
  <c r="L32"/>
  <c r="K32"/>
  <c r="M31"/>
  <c r="O31" s="1"/>
  <c r="L31"/>
  <c r="K31"/>
  <c r="M30"/>
  <c r="N30" s="1"/>
  <c r="L30"/>
  <c r="M29"/>
  <c r="N29" s="1"/>
  <c r="L29"/>
  <c r="I29"/>
  <c r="M28"/>
  <c r="O28" s="1"/>
  <c r="L28"/>
  <c r="N28" s="1"/>
  <c r="K28"/>
  <c r="M27"/>
  <c r="N27" s="1"/>
  <c r="L27"/>
  <c r="K27"/>
  <c r="M26"/>
  <c r="O26" s="1"/>
  <c r="L26"/>
  <c r="N26" s="1"/>
  <c r="M25"/>
  <c r="O25" s="1"/>
  <c r="L25"/>
  <c r="M24"/>
  <c r="O24" s="1"/>
  <c r="L24"/>
  <c r="I24"/>
  <c r="M23"/>
  <c r="O23" s="1"/>
  <c r="L23"/>
  <c r="N23" s="1"/>
  <c r="F23"/>
  <c r="G23" s="1"/>
  <c r="E23"/>
  <c r="M22"/>
  <c r="O22" s="1"/>
  <c r="L22"/>
  <c r="K22"/>
  <c r="F22"/>
  <c r="G22" s="1"/>
  <c r="E22"/>
  <c r="M21"/>
  <c r="O21" s="1"/>
  <c r="L21"/>
  <c r="K21"/>
  <c r="F21"/>
  <c r="H21" s="1"/>
  <c r="E21"/>
  <c r="G21" s="1"/>
  <c r="M20"/>
  <c r="N20" s="1"/>
  <c r="L20"/>
  <c r="K20"/>
  <c r="F20"/>
  <c r="H20" s="1"/>
  <c r="E20"/>
  <c r="G20" s="1"/>
  <c r="C20"/>
  <c r="M19"/>
  <c r="N19" s="1"/>
  <c r="L19"/>
  <c r="K19"/>
  <c r="F19"/>
  <c r="H19" s="1"/>
  <c r="E19"/>
  <c r="G19" s="1"/>
  <c r="B19"/>
  <c r="M18"/>
  <c r="N18" s="1"/>
  <c r="L18"/>
  <c r="K18"/>
  <c r="F18"/>
  <c r="H18" s="1"/>
  <c r="E18"/>
  <c r="M17"/>
  <c r="O17" s="1"/>
  <c r="L17"/>
  <c r="F17"/>
  <c r="H17" s="1"/>
  <c r="E17"/>
  <c r="M16"/>
  <c r="O16" s="1"/>
  <c r="L16"/>
  <c r="K16"/>
  <c r="F16"/>
  <c r="H16" s="1"/>
  <c r="E16"/>
  <c r="G16" s="1"/>
  <c r="M15"/>
  <c r="O15" s="1"/>
  <c r="L15"/>
  <c r="N15" s="1"/>
  <c r="K15"/>
  <c r="F15"/>
  <c r="H15" s="1"/>
  <c r="E15"/>
  <c r="M14"/>
  <c r="O14" s="1"/>
  <c r="L14"/>
  <c r="F14"/>
  <c r="H14" s="1"/>
  <c r="E14"/>
  <c r="C14"/>
  <c r="M13"/>
  <c r="O13" s="1"/>
  <c r="L13"/>
  <c r="N13" s="1"/>
  <c r="K13"/>
  <c r="F13"/>
  <c r="H13" s="1"/>
  <c r="E13"/>
  <c r="G13" s="1"/>
  <c r="B13"/>
  <c r="M12"/>
  <c r="N12" s="1"/>
  <c r="L12"/>
  <c r="K12"/>
  <c r="F12"/>
  <c r="H12" s="1"/>
  <c r="E12"/>
  <c r="G12" s="1"/>
  <c r="M11"/>
  <c r="O11" s="1"/>
  <c r="L11"/>
  <c r="N11" s="1"/>
  <c r="K11"/>
  <c r="F11"/>
  <c r="H11" s="1"/>
  <c r="E11"/>
  <c r="G11" s="1"/>
  <c r="M10"/>
  <c r="O10" s="1"/>
  <c r="L10"/>
  <c r="K10"/>
  <c r="F10"/>
  <c r="H10" s="1"/>
  <c r="E10"/>
  <c r="G10" s="1"/>
  <c r="M9"/>
  <c r="O9" s="1"/>
  <c r="L9"/>
  <c r="N9" s="1"/>
  <c r="K9"/>
  <c r="F9"/>
  <c r="H9" s="1"/>
  <c r="E9"/>
  <c r="M8"/>
  <c r="O8" s="1"/>
  <c r="L8"/>
  <c r="F8"/>
  <c r="H8" s="1"/>
  <c r="E8"/>
  <c r="M7"/>
  <c r="O7" s="1"/>
  <c r="L7"/>
  <c r="F7"/>
  <c r="H7" s="1"/>
  <c r="E7"/>
  <c r="M6"/>
  <c r="P6" s="1"/>
  <c r="L6"/>
  <c r="Q10" s="1"/>
  <c r="F6"/>
  <c r="G6" s="1"/>
  <c r="E6"/>
  <c r="U117" i="21"/>
  <c r="G117"/>
  <c r="F117"/>
  <c r="H117" s="1"/>
  <c r="U116"/>
  <c r="G116"/>
  <c r="F116"/>
  <c r="H116" s="1"/>
  <c r="U115"/>
  <c r="G115"/>
  <c r="F115"/>
  <c r="H115" s="1"/>
  <c r="U114"/>
  <c r="F114" s="1"/>
  <c r="U113"/>
  <c r="U112"/>
  <c r="U111"/>
  <c r="F111" s="1"/>
  <c r="U110"/>
  <c r="U109"/>
  <c r="U108"/>
  <c r="F108" s="1"/>
  <c r="U107"/>
  <c r="U106"/>
  <c r="F105"/>
  <c r="G105" s="1"/>
  <c r="F103"/>
  <c r="G103" s="1"/>
  <c r="U102"/>
  <c r="U101"/>
  <c r="U100"/>
  <c r="U99"/>
  <c r="F99" s="1"/>
  <c r="U98"/>
  <c r="U97"/>
  <c r="F97"/>
  <c r="H97" s="1"/>
  <c r="U96"/>
  <c r="F96"/>
  <c r="H96" s="1"/>
  <c r="U95"/>
  <c r="F95"/>
  <c r="G95" s="1"/>
  <c r="F94"/>
  <c r="G94" s="1"/>
  <c r="U93"/>
  <c r="F93"/>
  <c r="G93" s="1"/>
  <c r="U92"/>
  <c r="F92"/>
  <c r="G92" s="1"/>
  <c r="U91"/>
  <c r="G91"/>
  <c r="F91"/>
  <c r="H91" s="1"/>
  <c r="U90"/>
  <c r="F90"/>
  <c r="G90" s="1"/>
  <c r="U89"/>
  <c r="U88"/>
  <c r="U87" s="1"/>
  <c r="U86"/>
  <c r="U85"/>
  <c r="U84"/>
  <c r="U83"/>
  <c r="F83"/>
  <c r="G83" s="1"/>
  <c r="E82"/>
  <c r="G81"/>
  <c r="U80"/>
  <c r="G80"/>
  <c r="U79"/>
  <c r="G79"/>
  <c r="U78"/>
  <c r="F78"/>
  <c r="G78" s="1"/>
  <c r="U77"/>
  <c r="F77"/>
  <c r="G77" s="1"/>
  <c r="U76"/>
  <c r="G76"/>
  <c r="U75"/>
  <c r="G75"/>
  <c r="U74"/>
  <c r="F74"/>
  <c r="G74" s="1"/>
  <c r="U73"/>
  <c r="F73"/>
  <c r="H73" s="1"/>
  <c r="U72"/>
  <c r="F72"/>
  <c r="G72" s="1"/>
  <c r="U71"/>
  <c r="F71"/>
  <c r="G71" s="1"/>
  <c r="U70"/>
  <c r="F70"/>
  <c r="H70" s="1"/>
  <c r="U69"/>
  <c r="F69"/>
  <c r="H69" s="1"/>
  <c r="E68"/>
  <c r="U67"/>
  <c r="F67"/>
  <c r="G67" s="1"/>
  <c r="U65"/>
  <c r="F65"/>
  <c r="G65" s="1"/>
  <c r="U64"/>
  <c r="U63" s="1"/>
  <c r="U62" s="1"/>
  <c r="F64"/>
  <c r="G64" s="1"/>
  <c r="F63"/>
  <c r="G63" s="1"/>
  <c r="F62"/>
  <c r="G62" s="1"/>
  <c r="E62"/>
  <c r="U61"/>
  <c r="U60"/>
  <c r="U59"/>
  <c r="F59"/>
  <c r="H59" s="1"/>
  <c r="U58"/>
  <c r="U57"/>
  <c r="U56" s="1"/>
  <c r="F56" s="1"/>
  <c r="U55"/>
  <c r="U54"/>
  <c r="U53"/>
  <c r="U52"/>
  <c r="U51" s="1"/>
  <c r="F51" s="1"/>
  <c r="U50"/>
  <c r="U49"/>
  <c r="U48"/>
  <c r="U47" s="1"/>
  <c r="F47" s="1"/>
  <c r="U46"/>
  <c r="U45"/>
  <c r="U44" s="1"/>
  <c r="U43"/>
  <c r="F43"/>
  <c r="G43" s="1"/>
  <c r="E42"/>
  <c r="U41"/>
  <c r="F41"/>
  <c r="H41" s="1"/>
  <c r="U40"/>
  <c r="F40"/>
  <c r="H40" s="1"/>
  <c r="U39"/>
  <c r="F39"/>
  <c r="H39" s="1"/>
  <c r="E39"/>
  <c r="U38"/>
  <c r="U37"/>
  <c r="U36"/>
  <c r="G36"/>
  <c r="U35"/>
  <c r="F35"/>
  <c r="G35" s="1"/>
  <c r="G34"/>
  <c r="G33"/>
  <c r="G32"/>
  <c r="W31"/>
  <c r="W32" s="1"/>
  <c r="G31"/>
  <c r="G30"/>
  <c r="G28"/>
  <c r="U26"/>
  <c r="G26"/>
  <c r="U25"/>
  <c r="G25"/>
  <c r="U24"/>
  <c r="G24"/>
  <c r="U23"/>
  <c r="U22"/>
  <c r="U21"/>
  <c r="U20"/>
  <c r="G20"/>
  <c r="U19"/>
  <c r="G19"/>
  <c r="U18"/>
  <c r="G18"/>
  <c r="U17"/>
  <c r="U16"/>
  <c r="U15"/>
  <c r="U14"/>
  <c r="G14"/>
  <c r="U12"/>
  <c r="J28" s="1"/>
  <c r="F12"/>
  <c r="G12" s="1"/>
  <c r="U11"/>
  <c r="U10"/>
  <c r="G10"/>
  <c r="U9"/>
  <c r="G9"/>
  <c r="U8"/>
  <c r="F8"/>
  <c r="G8" s="1"/>
  <c r="E6"/>
  <c r="E5"/>
  <c r="J26" i="20"/>
  <c r="R19"/>
  <c r="F19"/>
  <c r="G19" s="1"/>
  <c r="R18"/>
  <c r="F18"/>
  <c r="G18" s="1"/>
  <c r="R17"/>
  <c r="F17"/>
  <c r="G17" s="1"/>
  <c r="R16"/>
  <c r="F16"/>
  <c r="G16" s="1"/>
  <c r="E16"/>
  <c r="R15"/>
  <c r="G15"/>
  <c r="F15"/>
  <c r="H15" s="1"/>
  <c r="R14"/>
  <c r="F14"/>
  <c r="H14" s="1"/>
  <c r="E14"/>
  <c r="G14" s="1"/>
  <c r="R13"/>
  <c r="F13"/>
  <c r="G13" s="1"/>
  <c r="R12"/>
  <c r="F12"/>
  <c r="G12" s="1"/>
  <c r="E12"/>
  <c r="H11"/>
  <c r="G11"/>
  <c r="R10"/>
  <c r="F10" s="1"/>
  <c r="R9"/>
  <c r="E9"/>
  <c r="R8"/>
  <c r="F8"/>
  <c r="G8" s="1"/>
  <c r="R7"/>
  <c r="F7"/>
  <c r="G7" s="1"/>
  <c r="E7"/>
  <c r="R6"/>
  <c r="H6" i="22" l="1"/>
  <c r="O6"/>
  <c r="G7"/>
  <c r="N7"/>
  <c r="G8"/>
  <c r="N8"/>
  <c r="G9"/>
  <c r="N10"/>
  <c r="O12"/>
  <c r="G14"/>
  <c r="N14"/>
  <c r="G15"/>
  <c r="N16"/>
  <c r="G17"/>
  <c r="N17"/>
  <c r="G18"/>
  <c r="O18"/>
  <c r="O19"/>
  <c r="O20"/>
  <c r="N21"/>
  <c r="N22"/>
  <c r="N24"/>
  <c r="N25"/>
  <c r="O27"/>
  <c r="O29"/>
  <c r="O30"/>
  <c r="N31"/>
  <c r="O32"/>
  <c r="N33"/>
  <c r="N35"/>
  <c r="N37"/>
  <c r="N38"/>
  <c r="N40"/>
  <c r="N44"/>
  <c r="N45"/>
  <c r="N47"/>
  <c r="O48"/>
  <c r="N49"/>
  <c r="N51"/>
  <c r="N52"/>
  <c r="N53"/>
  <c r="N55"/>
  <c r="O56"/>
  <c r="O58"/>
  <c r="N59"/>
  <c r="O60"/>
  <c r="O62"/>
  <c r="O65"/>
  <c r="O68"/>
  <c r="N6"/>
  <c r="H10" i="20"/>
  <c r="F9"/>
  <c r="G10"/>
  <c r="J33" i="21"/>
  <c r="U33" s="1"/>
  <c r="J31"/>
  <c r="U31" s="1"/>
  <c r="J32" s="1"/>
  <c r="U32" s="1"/>
  <c r="J34"/>
  <c r="U34" s="1"/>
  <c r="J30"/>
  <c r="U30" s="1"/>
  <c r="U29" s="1"/>
  <c r="F29" s="1"/>
  <c r="U28"/>
  <c r="U27" s="1"/>
  <c r="U42"/>
  <c r="F44"/>
  <c r="G47"/>
  <c r="H47"/>
  <c r="F87"/>
  <c r="U82"/>
  <c r="U68" s="1"/>
  <c r="H111"/>
  <c r="F110"/>
  <c r="G111"/>
  <c r="H51"/>
  <c r="G51"/>
  <c r="H56"/>
  <c r="G56"/>
  <c r="H99"/>
  <c r="F98"/>
  <c r="G99"/>
  <c r="H108"/>
  <c r="F107"/>
  <c r="G108"/>
  <c r="H114"/>
  <c r="F113"/>
  <c r="G114"/>
  <c r="H7" i="20"/>
  <c r="H8"/>
  <c r="H12"/>
  <c r="H13"/>
  <c r="H16"/>
  <c r="H17"/>
  <c r="H8" i="21"/>
  <c r="H35"/>
  <c r="G39"/>
  <c r="G40"/>
  <c r="G41"/>
  <c r="H43"/>
  <c r="G59"/>
  <c r="H62"/>
  <c r="H65"/>
  <c r="H67"/>
  <c r="G69"/>
  <c r="G70"/>
  <c r="G73"/>
  <c r="H77"/>
  <c r="H78"/>
  <c r="H83"/>
  <c r="G96"/>
  <c r="G97"/>
  <c r="H103"/>
  <c r="H105"/>
  <c r="F104"/>
  <c r="H107" l="1"/>
  <c r="F106"/>
  <c r="G107"/>
  <c r="H87"/>
  <c r="G87"/>
  <c r="F82"/>
  <c r="H29"/>
  <c r="G29"/>
  <c r="H104"/>
  <c r="G104"/>
  <c r="H113"/>
  <c r="F112"/>
  <c r="G113"/>
  <c r="H98"/>
  <c r="G98"/>
  <c r="H110"/>
  <c r="F109"/>
  <c r="G110"/>
  <c r="G44"/>
  <c r="H44"/>
  <c r="F42"/>
  <c r="U7"/>
  <c r="U6" s="1"/>
  <c r="U5" s="1"/>
  <c r="F27"/>
  <c r="H9" i="20"/>
  <c r="F6"/>
  <c r="G9"/>
  <c r="G6" s="1"/>
  <c r="H6" l="1"/>
  <c r="I26"/>
  <c r="G27" i="21"/>
  <c r="H27"/>
  <c r="F7"/>
  <c r="G42"/>
  <c r="H42"/>
  <c r="H109"/>
  <c r="G109"/>
  <c r="H112"/>
  <c r="G112"/>
  <c r="G82"/>
  <c r="G68" s="1"/>
  <c r="F68"/>
  <c r="H68" s="1"/>
  <c r="H82"/>
  <c r="H106"/>
  <c r="G106"/>
  <c r="G7" l="1"/>
  <c r="H7"/>
  <c r="F6"/>
  <c r="G6" l="1"/>
  <c r="G5" s="1"/>
  <c r="F5"/>
  <c r="H6"/>
  <c r="H5" l="1"/>
  <c r="X5"/>
  <c r="V5"/>
  <c r="U19" i="17" l="1"/>
  <c r="F19" s="1"/>
  <c r="U18"/>
  <c r="F18" s="1"/>
  <c r="X17"/>
  <c r="Z15"/>
  <c r="F15"/>
  <c r="G15" s="1"/>
  <c r="Z14"/>
  <c r="F14"/>
  <c r="G14" s="1"/>
  <c r="U13"/>
  <c r="U12"/>
  <c r="G11"/>
  <c r="F11"/>
  <c r="F10"/>
  <c r="G10" s="1"/>
  <c r="U9"/>
  <c r="F9"/>
  <c r="G9" s="1"/>
  <c r="U8"/>
  <c r="F8"/>
  <c r="G8" s="1"/>
  <c r="U19" i="16"/>
  <c r="F19"/>
  <c r="G19" s="1"/>
  <c r="U18"/>
  <c r="G18"/>
  <c r="F18"/>
  <c r="H18" s="1"/>
  <c r="X17"/>
  <c r="X18" s="1"/>
  <c r="X19" s="1"/>
  <c r="F17"/>
  <c r="G17" s="1"/>
  <c r="F16"/>
  <c r="G16" s="1"/>
  <c r="U15"/>
  <c r="G15"/>
  <c r="F15"/>
  <c r="U14"/>
  <c r="F14"/>
  <c r="G14" s="1"/>
  <c r="U13"/>
  <c r="G13"/>
  <c r="F13"/>
  <c r="H12"/>
  <c r="G12"/>
  <c r="H11"/>
  <c r="G11"/>
  <c r="U10"/>
  <c r="F10" s="1"/>
  <c r="U9"/>
  <c r="V9" s="1"/>
  <c r="W9" s="1"/>
  <c r="V8"/>
  <c r="U8"/>
  <c r="F8"/>
  <c r="G8" s="1"/>
  <c r="U7"/>
  <c r="U6"/>
  <c r="M18" i="15"/>
  <c r="N18" s="1"/>
  <c r="L18"/>
  <c r="K18"/>
  <c r="F18"/>
  <c r="H18" s="1"/>
  <c r="E18"/>
  <c r="E17" s="1"/>
  <c r="D18"/>
  <c r="C18"/>
  <c r="M17"/>
  <c r="O17" s="1"/>
  <c r="L17"/>
  <c r="N17" s="1"/>
  <c r="K17"/>
  <c r="F17"/>
  <c r="G17" s="1"/>
  <c r="B17"/>
  <c r="L16"/>
  <c r="L15" s="1"/>
  <c r="K16"/>
  <c r="J16"/>
  <c r="F16"/>
  <c r="H16" s="1"/>
  <c r="E16"/>
  <c r="E14" s="1"/>
  <c r="D16"/>
  <c r="J15"/>
  <c r="I15"/>
  <c r="F15"/>
  <c r="G15" s="1"/>
  <c r="E15"/>
  <c r="D15"/>
  <c r="M14"/>
  <c r="O14" s="1"/>
  <c r="L14"/>
  <c r="N14" s="1"/>
  <c r="K14"/>
  <c r="F14"/>
  <c r="G14" s="1"/>
  <c r="B14"/>
  <c r="M13"/>
  <c r="O13" s="1"/>
  <c r="L13"/>
  <c r="L12" s="1"/>
  <c r="L11" s="1"/>
  <c r="K13"/>
  <c r="F13"/>
  <c r="G13" s="1"/>
  <c r="E13"/>
  <c r="M12"/>
  <c r="N12" s="1"/>
  <c r="K12"/>
  <c r="E12"/>
  <c r="B12"/>
  <c r="M11"/>
  <c r="N11" s="1"/>
  <c r="J11"/>
  <c r="I11"/>
  <c r="F11"/>
  <c r="G11" s="1"/>
  <c r="E11"/>
  <c r="D11"/>
  <c r="M10"/>
  <c r="O10" s="1"/>
  <c r="L10"/>
  <c r="N10" s="1"/>
  <c r="K10"/>
  <c r="F10"/>
  <c r="G10" s="1"/>
  <c r="E10"/>
  <c r="B10"/>
  <c r="M9"/>
  <c r="O9" s="1"/>
  <c r="L9"/>
  <c r="N9" s="1"/>
  <c r="K9"/>
  <c r="F9"/>
  <c r="G9" s="1"/>
  <c r="E9"/>
  <c r="D9"/>
  <c r="M8"/>
  <c r="O8" s="1"/>
  <c r="L8"/>
  <c r="N8" s="1"/>
  <c r="K8"/>
  <c r="J8"/>
  <c r="F8"/>
  <c r="H8" s="1"/>
  <c r="E8"/>
  <c r="E7" s="1"/>
  <c r="E6" s="1"/>
  <c r="D8"/>
  <c r="C8"/>
  <c r="M7"/>
  <c r="O7" s="1"/>
  <c r="L7"/>
  <c r="N7" s="1"/>
  <c r="I7"/>
  <c r="F7"/>
  <c r="G7" s="1"/>
  <c r="B7"/>
  <c r="H18" i="17" l="1"/>
  <c r="G18"/>
  <c r="H8"/>
  <c r="H9"/>
  <c r="H10"/>
  <c r="H14"/>
  <c r="H15"/>
  <c r="F13"/>
  <c r="U17"/>
  <c r="H10" i="16"/>
  <c r="G10"/>
  <c r="H8"/>
  <c r="H19"/>
  <c r="F9"/>
  <c r="F7" s="1"/>
  <c r="L6" i="15"/>
  <c r="H7"/>
  <c r="G8"/>
  <c r="H9"/>
  <c r="H10"/>
  <c r="H11"/>
  <c r="O11"/>
  <c r="O12"/>
  <c r="H13"/>
  <c r="N13"/>
  <c r="H14"/>
  <c r="H15"/>
  <c r="G16"/>
  <c r="H17"/>
  <c r="G18"/>
  <c r="O18"/>
  <c r="F12"/>
  <c r="M16"/>
  <c r="F12" i="17" l="1"/>
  <c r="G13"/>
  <c r="U16"/>
  <c r="U7" s="1"/>
  <c r="F17"/>
  <c r="G7" i="16"/>
  <c r="H7"/>
  <c r="F6"/>
  <c r="O16" i="15"/>
  <c r="N16"/>
  <c r="M15"/>
  <c r="H12"/>
  <c r="G12"/>
  <c r="G6" s="1"/>
  <c r="F6"/>
  <c r="H6" s="1"/>
  <c r="H12" i="17" l="1"/>
  <c r="G12"/>
  <c r="F7"/>
  <c r="G17"/>
  <c r="H17"/>
  <c r="F16"/>
  <c r="G6" i="16"/>
  <c r="H6"/>
  <c r="N15" i="15"/>
  <c r="O15"/>
  <c r="M6"/>
  <c r="G7" i="17" l="1"/>
  <c r="F4"/>
  <c r="H7"/>
  <c r="G16"/>
  <c r="H16"/>
  <c r="O6" i="15"/>
  <c r="N6"/>
  <c r="I23" i="10" l="1"/>
  <c r="U39" i="9"/>
  <c r="E21" i="8" l="1"/>
  <c r="H21" l="1"/>
  <c r="F20" i="10"/>
  <c r="E20"/>
  <c r="D20"/>
  <c r="H23" i="8"/>
  <c r="G23"/>
  <c r="F23"/>
  <c r="R23"/>
  <c r="R24"/>
  <c r="E6" l="1"/>
  <c r="E7" i="9" l="1"/>
  <c r="E6" s="1"/>
  <c r="E97"/>
  <c r="E91"/>
  <c r="E83"/>
  <c r="E66"/>
  <c r="E59"/>
  <c r="E58" s="1"/>
  <c r="E43"/>
  <c r="E40"/>
  <c r="E11" i="10"/>
  <c r="D37" i="11"/>
  <c r="D38"/>
  <c r="E46"/>
  <c r="F46" s="1"/>
  <c r="D46"/>
  <c r="E62" i="9" l="1"/>
  <c r="E5" s="1"/>
  <c r="D6" i="11" l="1"/>
  <c r="R25" i="8" l="1"/>
  <c r="R11"/>
  <c r="K45" i="10" l="1"/>
  <c r="M45"/>
  <c r="M47"/>
  <c r="U23" i="9"/>
  <c r="U25"/>
  <c r="U88"/>
  <c r="U66" l="1"/>
  <c r="R10" i="8"/>
  <c r="L30" i="10" l="1"/>
  <c r="M29"/>
  <c r="E63" i="9"/>
  <c r="U90"/>
  <c r="U87"/>
  <c r="F65"/>
  <c r="M30" i="10" s="1"/>
  <c r="E29" i="11" s="1"/>
  <c r="F29" s="1"/>
  <c r="U65" i="9"/>
  <c r="U63" s="1"/>
  <c r="E8" i="10"/>
  <c r="D5" i="11" s="1"/>
  <c r="U125" i="9"/>
  <c r="U54"/>
  <c r="F39"/>
  <c r="N30" i="10" l="1"/>
  <c r="M28"/>
  <c r="G65" i="9"/>
  <c r="F63"/>
  <c r="U68"/>
  <c r="U89" l="1"/>
  <c r="U71"/>
  <c r="U75"/>
  <c r="U74" s="1"/>
  <c r="U86"/>
  <c r="U85" s="1"/>
  <c r="U83" s="1"/>
  <c r="F85" l="1"/>
  <c r="U28"/>
  <c r="U29"/>
  <c r="U30"/>
  <c r="U27"/>
  <c r="G85" l="1"/>
  <c r="F83"/>
  <c r="M46" i="10"/>
  <c r="U26" i="9"/>
  <c r="U124"/>
  <c r="F124" s="1"/>
  <c r="L60" i="10"/>
  <c r="D45" i="11" s="1"/>
  <c r="F125" i="9"/>
  <c r="L9" i="10"/>
  <c r="U120" i="9"/>
  <c r="F120" s="1"/>
  <c r="D39" i="11"/>
  <c r="C39"/>
  <c r="C38"/>
  <c r="D36"/>
  <c r="B36"/>
  <c r="D35"/>
  <c r="C35"/>
  <c r="D20"/>
  <c r="C20"/>
  <c r="C16"/>
  <c r="D16"/>
  <c r="C17"/>
  <c r="D17"/>
  <c r="C18"/>
  <c r="D18"/>
  <c r="C19"/>
  <c r="D19"/>
  <c r="N46" i="10" l="1"/>
  <c r="E37" i="11"/>
  <c r="F37" s="1"/>
  <c r="M60" i="10"/>
  <c r="M64"/>
  <c r="N60" l="1"/>
  <c r="O60"/>
  <c r="E45" i="11"/>
  <c r="F45" s="1"/>
  <c r="M59" i="10"/>
  <c r="U82" i="9" l="1"/>
  <c r="U53" l="1"/>
  <c r="E20" i="11" l="1"/>
  <c r="F20" s="1"/>
  <c r="R9" i="8" l="1"/>
  <c r="U20" i="9"/>
  <c r="U19"/>
  <c r="U10"/>
  <c r="F79"/>
  <c r="R7" i="8" l="1"/>
  <c r="R8"/>
  <c r="U22" i="9"/>
  <c r="U21" l="1"/>
  <c r="U18" s="1"/>
  <c r="U24"/>
  <c r="U56"/>
  <c r="U57"/>
  <c r="U52"/>
  <c r="U51" s="1"/>
  <c r="U49"/>
  <c r="U50"/>
  <c r="U47"/>
  <c r="U48"/>
  <c r="U123"/>
  <c r="V123" s="1"/>
  <c r="U101"/>
  <c r="U122" l="1"/>
  <c r="F123"/>
  <c r="U46"/>
  <c r="F46" s="1"/>
  <c r="F51"/>
  <c r="G51" s="1"/>
  <c r="U55"/>
  <c r="F55" s="1"/>
  <c r="G55" s="1"/>
  <c r="F15" i="8"/>
  <c r="F84" i="9"/>
  <c r="U114"/>
  <c r="U115"/>
  <c r="R22" i="8"/>
  <c r="G79" i="9"/>
  <c r="G60"/>
  <c r="G61"/>
  <c r="G32"/>
  <c r="G34"/>
  <c r="G35"/>
  <c r="G36"/>
  <c r="H124"/>
  <c r="H120"/>
  <c r="H60"/>
  <c r="H61"/>
  <c r="F13" i="8"/>
  <c r="M26" i="10"/>
  <c r="M25"/>
  <c r="M58"/>
  <c r="M65"/>
  <c r="L65"/>
  <c r="L64"/>
  <c r="N64" s="1"/>
  <c r="L63"/>
  <c r="L59"/>
  <c r="L57"/>
  <c r="L56"/>
  <c r="D44" i="11" s="1"/>
  <c r="L55" i="10"/>
  <c r="D43" i="11" s="1"/>
  <c r="L54" i="10"/>
  <c r="D42" i="11" s="1"/>
  <c r="L53" i="10"/>
  <c r="D41" i="11" s="1"/>
  <c r="L51" i="10"/>
  <c r="L50"/>
  <c r="D40" i="11" s="1"/>
  <c r="L49" i="10"/>
  <c r="L47"/>
  <c r="L45"/>
  <c r="M39"/>
  <c r="L33"/>
  <c r="L34"/>
  <c r="D30" i="11" s="1"/>
  <c r="L35" i="10"/>
  <c r="D31" i="11" s="1"/>
  <c r="L36" i="10"/>
  <c r="D32" i="11" s="1"/>
  <c r="L37" i="10"/>
  <c r="D33" i="11" s="1"/>
  <c r="L38" i="10"/>
  <c r="D34" i="11" s="1"/>
  <c r="L39" i="10"/>
  <c r="L40"/>
  <c r="L32"/>
  <c r="L29"/>
  <c r="D28" i="11" s="1"/>
  <c r="F28" s="1"/>
  <c r="L26" i="10"/>
  <c r="L25"/>
  <c r="L21"/>
  <c r="D26" i="11" s="1"/>
  <c r="L20" i="10"/>
  <c r="D25" i="11" s="1"/>
  <c r="L19" i="10"/>
  <c r="D24" i="11" s="1"/>
  <c r="L18" i="10"/>
  <c r="D23" i="11" s="1"/>
  <c r="L22" i="10"/>
  <c r="D27" i="11" s="1"/>
  <c r="K22" i="10"/>
  <c r="L16"/>
  <c r="D22" i="11" s="1"/>
  <c r="L15" i="10"/>
  <c r="D21" i="11" s="1"/>
  <c r="L13" i="10"/>
  <c r="L12"/>
  <c r="L11"/>
  <c r="L10"/>
  <c r="K65"/>
  <c r="K64"/>
  <c r="K63"/>
  <c r="K60"/>
  <c r="J59"/>
  <c r="K57"/>
  <c r="K56"/>
  <c r="K55"/>
  <c r="K54"/>
  <c r="K53"/>
  <c r="K51"/>
  <c r="K50"/>
  <c r="K49"/>
  <c r="K47"/>
  <c r="K40"/>
  <c r="K39"/>
  <c r="K38"/>
  <c r="K37"/>
  <c r="K36"/>
  <c r="K35"/>
  <c r="K34"/>
  <c r="K33"/>
  <c r="K32"/>
  <c r="I27"/>
  <c r="K26"/>
  <c r="K25"/>
  <c r="K21"/>
  <c r="K20"/>
  <c r="K19"/>
  <c r="K18"/>
  <c r="K16"/>
  <c r="K15"/>
  <c r="K13"/>
  <c r="K12"/>
  <c r="K11"/>
  <c r="K10"/>
  <c r="K9"/>
  <c r="I7"/>
  <c r="L28" l="1"/>
  <c r="O29"/>
  <c r="D15" i="11"/>
  <c r="N39" i="10"/>
  <c r="N26"/>
  <c r="O26"/>
  <c r="O25"/>
  <c r="L58"/>
  <c r="N58" s="1"/>
  <c r="N59"/>
  <c r="N65"/>
  <c r="N25"/>
  <c r="G13" i="8"/>
  <c r="H13"/>
  <c r="R12"/>
  <c r="F12" s="1"/>
  <c r="L44" i="10"/>
  <c r="F122" i="9"/>
  <c r="O64" i="10"/>
  <c r="O65"/>
  <c r="L8"/>
  <c r="E36" i="11"/>
  <c r="F36" s="1"/>
  <c r="H55" i="9"/>
  <c r="M22" i="10"/>
  <c r="E27" i="11" s="1"/>
  <c r="F27" s="1"/>
  <c r="M21" i="10"/>
  <c r="E26" i="11" s="1"/>
  <c r="F26" s="1"/>
  <c r="H51" i="9"/>
  <c r="H123"/>
  <c r="L14" i="10"/>
  <c r="G46" i="9"/>
  <c r="H46"/>
  <c r="M20" i="10"/>
  <c r="E25" i="11" s="1"/>
  <c r="F25" s="1"/>
  <c r="M63" i="10"/>
  <c r="N63" s="1"/>
  <c r="O59"/>
  <c r="U113" i="9"/>
  <c r="M24" i="10"/>
  <c r="L24"/>
  <c r="L23" s="1"/>
  <c r="L48"/>
  <c r="L31"/>
  <c r="L52"/>
  <c r="L17"/>
  <c r="L62"/>
  <c r="L61" s="1"/>
  <c r="U107" i="9"/>
  <c r="N22" i="10" l="1"/>
  <c r="O22"/>
  <c r="N20"/>
  <c r="O20"/>
  <c r="N21"/>
  <c r="O21"/>
  <c r="O24"/>
  <c r="M23"/>
  <c r="N24"/>
  <c r="O58"/>
  <c r="L27"/>
  <c r="O63"/>
  <c r="M62"/>
  <c r="N62" s="1"/>
  <c r="L7"/>
  <c r="E9"/>
  <c r="D11" i="11"/>
  <c r="E19" i="10"/>
  <c r="D10" i="11" s="1"/>
  <c r="E17" i="10"/>
  <c r="D9" i="11" s="1"/>
  <c r="E16" i="10"/>
  <c r="D8" i="11" s="1"/>
  <c r="D19" i="10"/>
  <c r="C19"/>
  <c r="B18"/>
  <c r="D17"/>
  <c r="D16"/>
  <c r="B15"/>
  <c r="E14"/>
  <c r="F12"/>
  <c r="E12"/>
  <c r="B13"/>
  <c r="D12"/>
  <c r="D11"/>
  <c r="B10"/>
  <c r="D9"/>
  <c r="D8"/>
  <c r="C8"/>
  <c r="B7"/>
  <c r="U117" i="9"/>
  <c r="U116" s="1"/>
  <c r="F116" s="1"/>
  <c r="U45"/>
  <c r="F45" s="1"/>
  <c r="U110"/>
  <c r="U111"/>
  <c r="U112"/>
  <c r="U109"/>
  <c r="U106"/>
  <c r="U105"/>
  <c r="U104"/>
  <c r="U103"/>
  <c r="U102"/>
  <c r="U100"/>
  <c r="U96"/>
  <c r="F96" s="1"/>
  <c r="U95"/>
  <c r="F95" s="1"/>
  <c r="U94"/>
  <c r="U93"/>
  <c r="U81"/>
  <c r="U77"/>
  <c r="U70"/>
  <c r="U69" s="1"/>
  <c r="U72"/>
  <c r="F72" s="1"/>
  <c r="U67"/>
  <c r="E13" i="10" l="1"/>
  <c r="D7" i="11"/>
  <c r="L6" i="10"/>
  <c r="N23"/>
  <c r="O23"/>
  <c r="U80" i="9"/>
  <c r="F80" s="1"/>
  <c r="O62" i="10"/>
  <c r="M61"/>
  <c r="N61" s="1"/>
  <c r="G45" i="9"/>
  <c r="U76"/>
  <c r="F76" s="1"/>
  <c r="H45"/>
  <c r="M19" i="10"/>
  <c r="E24" i="11" s="1"/>
  <c r="F24" s="1"/>
  <c r="E7" i="10"/>
  <c r="M50"/>
  <c r="H95" i="9"/>
  <c r="M35" i="10"/>
  <c r="E31" i="11" s="1"/>
  <c r="F31" s="1"/>
  <c r="G72" i="9"/>
  <c r="H72"/>
  <c r="M51" i="10"/>
  <c r="N51" s="1"/>
  <c r="H96" i="9"/>
  <c r="G116"/>
  <c r="F67"/>
  <c r="F73"/>
  <c r="U108"/>
  <c r="F108" s="1"/>
  <c r="H108" s="1"/>
  <c r="E10" i="10"/>
  <c r="G12"/>
  <c r="E18"/>
  <c r="H12"/>
  <c r="E15"/>
  <c r="F69" i="9"/>
  <c r="F88"/>
  <c r="G88" s="1"/>
  <c r="U92"/>
  <c r="F74"/>
  <c r="N50" i="10" l="1"/>
  <c r="E40" i="11"/>
  <c r="F40" s="1"/>
  <c r="D4"/>
  <c r="N35" i="10"/>
  <c r="O35"/>
  <c r="N19"/>
  <c r="O19"/>
  <c r="E35" i="11"/>
  <c r="F35" s="1"/>
  <c r="G80" i="9"/>
  <c r="O61" i="10"/>
  <c r="E38" i="11"/>
  <c r="F38" s="1"/>
  <c r="G83" i="9"/>
  <c r="G73"/>
  <c r="M36" i="10"/>
  <c r="E32" i="11" s="1"/>
  <c r="F32" s="1"/>
  <c r="G76" i="9"/>
  <c r="M34" i="10"/>
  <c r="E30" i="11" s="1"/>
  <c r="F30" s="1"/>
  <c r="G69" i="9"/>
  <c r="G64"/>
  <c r="H64"/>
  <c r="M32" i="10"/>
  <c r="H67" i="9"/>
  <c r="G67"/>
  <c r="M38" i="10"/>
  <c r="E34" i="11" s="1"/>
  <c r="F34" s="1"/>
  <c r="H76" i="9"/>
  <c r="M37" i="10"/>
  <c r="E33" i="11" s="1"/>
  <c r="F33" s="1"/>
  <c r="G74" i="9"/>
  <c r="H74"/>
  <c r="N47" i="10"/>
  <c r="H88" i="9"/>
  <c r="G84"/>
  <c r="H84"/>
  <c r="M57" i="10"/>
  <c r="H116" i="9"/>
  <c r="H80"/>
  <c r="M55" i="10"/>
  <c r="E43" i="11" s="1"/>
  <c r="F43" s="1"/>
  <c r="F92" i="9"/>
  <c r="E39" i="11" s="1"/>
  <c r="F39" s="1"/>
  <c r="U91" i="9"/>
  <c r="N45" i="10"/>
  <c r="M40"/>
  <c r="E6"/>
  <c r="G108" i="9"/>
  <c r="N37" i="10" l="1"/>
  <c r="O37"/>
  <c r="N38"/>
  <c r="O38"/>
  <c r="N36"/>
  <c r="O36"/>
  <c r="N40"/>
  <c r="O40"/>
  <c r="N29"/>
  <c r="N32"/>
  <c r="O32"/>
  <c r="N34"/>
  <c r="O34"/>
  <c r="N57"/>
  <c r="O57"/>
  <c r="N55"/>
  <c r="O55"/>
  <c r="M44"/>
  <c r="N44" s="1"/>
  <c r="H83" i="9"/>
  <c r="G63"/>
  <c r="H63"/>
  <c r="F91"/>
  <c r="M49" i="10"/>
  <c r="H122" i="9"/>
  <c r="F59"/>
  <c r="G125"/>
  <c r="U119"/>
  <c r="U118" s="1"/>
  <c r="F118" s="1"/>
  <c r="U60"/>
  <c r="U61"/>
  <c r="R17" i="8"/>
  <c r="G14"/>
  <c r="G15"/>
  <c r="R19"/>
  <c r="R20"/>
  <c r="F20" s="1"/>
  <c r="F22"/>
  <c r="N28" i="10" l="1"/>
  <c r="O28"/>
  <c r="F19"/>
  <c r="F21" i="8"/>
  <c r="M48" i="10"/>
  <c r="N48" s="1"/>
  <c r="N49"/>
  <c r="E11" i="11"/>
  <c r="F11" s="1"/>
  <c r="G20" i="8"/>
  <c r="F17" i="10"/>
  <c r="E9" i="11" s="1"/>
  <c r="F9" s="1"/>
  <c r="F8" i="8"/>
  <c r="F17"/>
  <c r="R16"/>
  <c r="F16" s="1"/>
  <c r="G16" s="1"/>
  <c r="R18"/>
  <c r="H91" i="9"/>
  <c r="G91"/>
  <c r="F58"/>
  <c r="G59"/>
  <c r="H118"/>
  <c r="H19" i="10"/>
  <c r="F11"/>
  <c r="E6" i="11" s="1"/>
  <c r="F6" s="1"/>
  <c r="U59" i="9"/>
  <c r="U121"/>
  <c r="F121" s="1"/>
  <c r="F119"/>
  <c r="G120"/>
  <c r="G22" i="8"/>
  <c r="R21"/>
  <c r="U44" i="9"/>
  <c r="H14" i="8"/>
  <c r="G19" i="10" l="1"/>
  <c r="E10" i="11"/>
  <c r="F10" s="1"/>
  <c r="G8" i="8"/>
  <c r="F8" i="10"/>
  <c r="E5" i="11" s="1"/>
  <c r="F18" i="10"/>
  <c r="H18" s="1"/>
  <c r="G20"/>
  <c r="H20"/>
  <c r="U43" i="9"/>
  <c r="F44"/>
  <c r="G17" i="8"/>
  <c r="F14" i="10"/>
  <c r="E7" i="11" s="1"/>
  <c r="F7" s="1"/>
  <c r="G17" i="10"/>
  <c r="H17"/>
  <c r="G58" i="9"/>
  <c r="H58"/>
  <c r="G119"/>
  <c r="H119"/>
  <c r="G21" i="8"/>
  <c r="H121" i="9"/>
  <c r="H11" i="10"/>
  <c r="G11"/>
  <c r="F10"/>
  <c r="H8"/>
  <c r="F5" i="11" l="1"/>
  <c r="G18" i="10"/>
  <c r="G8"/>
  <c r="H44" i="9"/>
  <c r="G44"/>
  <c r="M18" i="10"/>
  <c r="E23" i="11" s="1"/>
  <c r="F23" s="1"/>
  <c r="F43" i="9"/>
  <c r="G14" i="10"/>
  <c r="F13"/>
  <c r="H14"/>
  <c r="H10"/>
  <c r="G10"/>
  <c r="G124" i="9"/>
  <c r="G118"/>
  <c r="G122"/>
  <c r="U11"/>
  <c r="U9"/>
  <c r="N18" i="10" l="1"/>
  <c r="O18"/>
  <c r="M17"/>
  <c r="H43" i="9"/>
  <c r="G43"/>
  <c r="H13" i="10"/>
  <c r="G13"/>
  <c r="G123" i="9"/>
  <c r="F19" i="8"/>
  <c r="F16" i="10" s="1"/>
  <c r="E8" i="11" s="1"/>
  <c r="G121" i="9"/>
  <c r="U17"/>
  <c r="F8" i="11" l="1"/>
  <c r="E4"/>
  <c r="F4" s="1"/>
  <c r="N17" i="10"/>
  <c r="O17"/>
  <c r="G16"/>
  <c r="F15"/>
  <c r="H16"/>
  <c r="F18" i="8"/>
  <c r="G18" s="1"/>
  <c r="G19"/>
  <c r="H15" i="10" l="1"/>
  <c r="G15"/>
  <c r="U12" i="9"/>
  <c r="U8" l="1"/>
  <c r="F8" l="1"/>
  <c r="E16" i="11" s="1"/>
  <c r="F7" i="8"/>
  <c r="G7" s="1"/>
  <c r="M9" i="10"/>
  <c r="F11" i="8"/>
  <c r="H11" s="1"/>
  <c r="H8" i="9"/>
  <c r="F16" i="11" l="1"/>
  <c r="O9" i="10"/>
  <c r="N9"/>
  <c r="G8" i="9"/>
  <c r="R6" i="8"/>
  <c r="G11"/>
  <c r="F9" i="10"/>
  <c r="G12" i="8"/>
  <c r="F6"/>
  <c r="H12"/>
  <c r="H8"/>
  <c r="U41" i="9"/>
  <c r="F41" s="1"/>
  <c r="U16"/>
  <c r="U15"/>
  <c r="H41" l="1"/>
  <c r="M15" i="10"/>
  <c r="E21" i="11" s="1"/>
  <c r="F21" s="1"/>
  <c r="G41" i="9"/>
  <c r="H9" i="10"/>
  <c r="G9"/>
  <c r="F7"/>
  <c r="G6" i="8"/>
  <c r="F68" i="9"/>
  <c r="H7" i="8"/>
  <c r="N15" i="10" l="1"/>
  <c r="O15"/>
  <c r="G68" i="9"/>
  <c r="F66"/>
  <c r="G66" s="1"/>
  <c r="G7" i="10"/>
  <c r="H7"/>
  <c r="F6"/>
  <c r="M33"/>
  <c r="U58" i="9"/>
  <c r="N33" i="10" l="1"/>
  <c r="O33"/>
  <c r="H6"/>
  <c r="G6"/>
  <c r="H66" i="9"/>
  <c r="M31" i="10"/>
  <c r="N31" l="1"/>
  <c r="O31"/>
  <c r="U14" i="9"/>
  <c r="U13" l="1"/>
  <c r="O51" i="10"/>
  <c r="J32" i="9" l="1"/>
  <c r="U32" s="1"/>
  <c r="F13"/>
  <c r="G9"/>
  <c r="G10"/>
  <c r="G37"/>
  <c r="G38"/>
  <c r="G81"/>
  <c r="G92"/>
  <c r="G93"/>
  <c r="G99"/>
  <c r="H22" i="8" l="1"/>
  <c r="H6" l="1"/>
  <c r="U99" i="9" l="1"/>
  <c r="U98" s="1"/>
  <c r="U42"/>
  <c r="U40" l="1"/>
  <c r="F42"/>
  <c r="F40" l="1"/>
  <c r="G42"/>
  <c r="M16" i="10"/>
  <c r="E22" i="11" s="1"/>
  <c r="F22" s="1"/>
  <c r="H42" i="9"/>
  <c r="M13" i="10"/>
  <c r="G39" i="9"/>
  <c r="H39"/>
  <c r="F98"/>
  <c r="G96"/>
  <c r="O45" i="10"/>
  <c r="O44"/>
  <c r="O50"/>
  <c r="F113" i="9"/>
  <c r="N13" i="10" l="1"/>
  <c r="O13"/>
  <c r="N16"/>
  <c r="O16"/>
  <c r="M14"/>
  <c r="H40" i="9"/>
  <c r="G40"/>
  <c r="M56" i="10"/>
  <c r="E44" i="11" s="1"/>
  <c r="F44" s="1"/>
  <c r="H113" i="9"/>
  <c r="M53" i="10"/>
  <c r="E41" i="11" s="1"/>
  <c r="F41" s="1"/>
  <c r="H98" i="9"/>
  <c r="U97"/>
  <c r="U62" s="1"/>
  <c r="G113"/>
  <c r="G95"/>
  <c r="N14" i="10" l="1"/>
  <c r="O14"/>
  <c r="N53"/>
  <c r="O53"/>
  <c r="O56"/>
  <c r="N56"/>
  <c r="H15" i="8"/>
  <c r="G98" i="9"/>
  <c r="O48" i="10" l="1"/>
  <c r="F107" i="9"/>
  <c r="H107" s="1"/>
  <c r="F97" l="1"/>
  <c r="M54" i="10"/>
  <c r="E42" i="11" s="1"/>
  <c r="F42" s="1"/>
  <c r="G107" i="9"/>
  <c r="O54" i="10" l="1"/>
  <c r="N54"/>
  <c r="M52"/>
  <c r="F62" i="9"/>
  <c r="H97"/>
  <c r="G97"/>
  <c r="O49" i="10"/>
  <c r="N52" l="1"/>
  <c r="M27"/>
  <c r="O27" s="1"/>
  <c r="G62" i="9"/>
  <c r="O52" i="10"/>
  <c r="H62" i="9"/>
  <c r="O47" i="10"/>
  <c r="N27" l="1"/>
  <c r="E17" i="11" l="1"/>
  <c r="F17" l="1"/>
  <c r="G13" i="9"/>
  <c r="H13"/>
  <c r="M10" i="10"/>
  <c r="N10" l="1"/>
  <c r="O10"/>
  <c r="J37" i="9"/>
  <c r="U37" s="1"/>
  <c r="J35"/>
  <c r="U31"/>
  <c r="F31" s="1"/>
  <c r="J34"/>
  <c r="U34" s="1"/>
  <c r="J38"/>
  <c r="U38" s="1"/>
  <c r="U35" l="1"/>
  <c r="J36" s="1"/>
  <c r="U36" s="1"/>
  <c r="U33" s="1"/>
  <c r="F33" s="1"/>
  <c r="E18" i="11"/>
  <c r="G33" i="9" l="1"/>
  <c r="E19" i="11"/>
  <c r="E15" s="1"/>
  <c r="F18"/>
  <c r="F7" i="9"/>
  <c r="F6" s="1"/>
  <c r="F5" s="1"/>
  <c r="Y5" s="1"/>
  <c r="U7"/>
  <c r="H33"/>
  <c r="M12" i="10"/>
  <c r="O12" s="1"/>
  <c r="H31" i="9"/>
  <c r="M11" i="10"/>
  <c r="G31" i="9"/>
  <c r="G5" l="1"/>
  <c r="U6"/>
  <c r="U5" s="1"/>
  <c r="N11" i="10"/>
  <c r="O11"/>
  <c r="N12"/>
  <c r="V120" i="9"/>
  <c r="F19" i="11"/>
  <c r="F15"/>
  <c r="G7" i="9"/>
  <c r="H7"/>
  <c r="M8" i="10"/>
  <c r="N8" s="1"/>
  <c r="O8" l="1"/>
  <c r="M7"/>
  <c r="M6" s="1"/>
  <c r="N6" s="1"/>
  <c r="V6" i="9" s="1"/>
  <c r="G6"/>
  <c r="H6"/>
  <c r="H5" l="1"/>
  <c r="O7" i="10"/>
  <c r="N7"/>
  <c r="O6" l="1"/>
</calcChain>
</file>

<file path=xl/comments1.xml><?xml version="1.0" encoding="utf-8"?>
<comments xmlns="http://schemas.openxmlformats.org/spreadsheetml/2006/main">
  <authors>
    <author>PowerUser</author>
  </authors>
  <commentList>
    <comment ref="J11" authorId="0">
      <text>
        <r>
          <rPr>
            <b/>
            <sz val="9"/>
            <color indexed="81"/>
            <rFont val="Tahoma"/>
            <family val="2"/>
          </rPr>
          <t>PowerUser: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PowerUser</author>
  </authors>
  <commentList>
    <comment ref="J20" authorId="0">
      <text>
        <r>
          <rPr>
            <b/>
            <sz val="9"/>
            <color indexed="81"/>
            <rFont val="Tahoma"/>
            <family val="2"/>
          </rPr>
          <t>PowerUser: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<sst xmlns="http://schemas.openxmlformats.org/spreadsheetml/2006/main" count="2167" uniqueCount="548">
  <si>
    <t>보조금수입</t>
    <phoneticPr fontId="2" type="noConversion"/>
  </si>
  <si>
    <t xml:space="preserve"> 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</si>
  <si>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</si>
  <si>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</si>
  <si>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</si>
  <si>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증감(B-A)</t>
    <phoneticPr fontId="2" type="noConversion"/>
  </si>
  <si>
    <t>금 액</t>
    <phoneticPr fontId="2" type="noConversion"/>
  </si>
  <si>
    <t>%</t>
    <phoneticPr fontId="2" type="noConversion"/>
  </si>
  <si>
    <t>총  계</t>
    <phoneticPr fontId="2" type="noConversion"/>
  </si>
  <si>
    <t>소  계</t>
    <phoneticPr fontId="2" type="noConversion"/>
  </si>
  <si>
    <t>계</t>
    <phoneticPr fontId="2" type="noConversion"/>
  </si>
  <si>
    <t>후원금수입</t>
    <phoneticPr fontId="2" type="noConversion"/>
  </si>
  <si>
    <t>전입금</t>
    <phoneticPr fontId="2" type="noConversion"/>
  </si>
  <si>
    <t>잡수입</t>
    <phoneticPr fontId="2" type="noConversion"/>
  </si>
  <si>
    <t>인건비</t>
    <phoneticPr fontId="2" type="noConversion"/>
  </si>
  <si>
    <t>급  여</t>
    <phoneticPr fontId="2" type="noConversion"/>
  </si>
  <si>
    <t>원</t>
    <phoneticPr fontId="2" type="noConversion"/>
  </si>
  <si>
    <t>x</t>
    <phoneticPr fontId="2" type="noConversion"/>
  </si>
  <si>
    <t>월</t>
    <phoneticPr fontId="2" type="noConversion"/>
  </si>
  <si>
    <t>명</t>
    <phoneticPr fontId="2" type="noConversion"/>
  </si>
  <si>
    <t>회</t>
    <phoneticPr fontId="2" type="noConversion"/>
  </si>
  <si>
    <t>제수당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</si>
  <si>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</si>
  <si>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</si>
  <si>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</si>
  <si>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</si>
  <si>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</si>
  <si>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  비</t>
    <phoneticPr fontId="2" type="noConversion"/>
  </si>
  <si>
    <t>수용비및수수료</t>
    <phoneticPr fontId="2" type="noConversion"/>
  </si>
  <si>
    <t>차량비</t>
    <phoneticPr fontId="2" type="noConversion"/>
  </si>
  <si>
    <t>제세공과금</t>
    <phoneticPr fontId="2" type="noConversion"/>
  </si>
  <si>
    <t>기타사업비</t>
    <phoneticPr fontId="2" type="noConversion"/>
  </si>
  <si>
    <t xml:space="preserve"> 세              입</t>
    <phoneticPr fontId="2" type="noConversion"/>
  </si>
  <si>
    <t>세              출</t>
    <phoneticPr fontId="2" type="noConversion"/>
  </si>
  <si>
    <t>총     계</t>
    <phoneticPr fontId="2" type="noConversion"/>
  </si>
  <si>
    <t>사회보험부담금</t>
    <phoneticPr fontId="2" type="noConversion"/>
  </si>
  <si>
    <t>공공요금</t>
    <phoneticPr fontId="2" type="noConversion"/>
  </si>
  <si>
    <t>퇴직금 및 퇴직적립금</t>
    <phoneticPr fontId="2" type="noConversion"/>
  </si>
  <si>
    <t>사회보험부담비용</t>
    <phoneticPr fontId="2" type="noConversion"/>
  </si>
  <si>
    <t>여비</t>
    <phoneticPr fontId="2" type="noConversion"/>
  </si>
  <si>
    <t>수용비 및 수수료</t>
    <phoneticPr fontId="2" type="noConversion"/>
  </si>
  <si>
    <t>`</t>
    <phoneticPr fontId="2" type="noConversion"/>
  </si>
  <si>
    <t>이월금</t>
    <phoneticPr fontId="2" type="noConversion"/>
  </si>
  <si>
    <t>경상보조금수입</t>
    <phoneticPr fontId="2" type="noConversion"/>
  </si>
  <si>
    <t>(단위 : 원)</t>
    <phoneticPr fontId="2" type="noConversion"/>
  </si>
  <si>
    <t>계</t>
    <phoneticPr fontId="2" type="noConversion"/>
  </si>
  <si>
    <t>소  계</t>
    <phoneticPr fontId="2" type="noConversion"/>
  </si>
  <si>
    <t>사업비</t>
    <phoneticPr fontId="2" type="noConversion"/>
  </si>
  <si>
    <t>종사자수당보조금</t>
    <phoneticPr fontId="2" type="noConversion"/>
  </si>
  <si>
    <t>지정후원금</t>
    <phoneticPr fontId="2" type="noConversion"/>
  </si>
  <si>
    <t>비지정후원금</t>
    <phoneticPr fontId="2" type="noConversion"/>
  </si>
  <si>
    <t>이월금</t>
    <phoneticPr fontId="2" type="noConversion"/>
  </si>
  <si>
    <t>전년도이월금(후원금)</t>
    <phoneticPr fontId="2" type="noConversion"/>
  </si>
  <si>
    <t>기타예금이자수입</t>
    <phoneticPr fontId="2" type="noConversion"/>
  </si>
  <si>
    <t>회</t>
  </si>
  <si>
    <t>회</t>
    <phoneticPr fontId="2" type="noConversion"/>
  </si>
  <si>
    <t>회</t>
    <phoneticPr fontId="2" type="noConversion"/>
  </si>
  <si>
    <t>원</t>
    <phoneticPr fontId="2" type="noConversion"/>
  </si>
  <si>
    <t>전입금</t>
    <phoneticPr fontId="2" type="noConversion"/>
  </si>
  <si>
    <t>회</t>
    <phoneticPr fontId="2" type="noConversion"/>
  </si>
  <si>
    <t>전년도 이월금</t>
    <phoneticPr fontId="2" type="noConversion"/>
  </si>
  <si>
    <t>전년도이월금</t>
    <phoneticPr fontId="2" type="noConversion"/>
  </si>
  <si>
    <t>류동호</t>
    <phoneticPr fontId="2" type="noConversion"/>
  </si>
  <si>
    <t>원혜주</t>
    <phoneticPr fontId="2" type="noConversion"/>
  </si>
  <si>
    <t>박윤복</t>
    <phoneticPr fontId="2" type="noConversion"/>
  </si>
  <si>
    <t>/</t>
    <phoneticPr fontId="2" type="noConversion"/>
  </si>
  <si>
    <t>재산조성비</t>
    <phoneticPr fontId="2" type="noConversion"/>
  </si>
  <si>
    <t>시설비</t>
    <phoneticPr fontId="2" type="noConversion"/>
  </si>
  <si>
    <t>자산취득비</t>
    <phoneticPr fontId="2" type="noConversion"/>
  </si>
  <si>
    <t>소계</t>
    <phoneticPr fontId="2" type="noConversion"/>
  </si>
  <si>
    <t>시설장비유지비</t>
    <phoneticPr fontId="2" type="noConversion"/>
  </si>
  <si>
    <t>명절생신지원비</t>
    <phoneticPr fontId="2" type="noConversion"/>
  </si>
  <si>
    <t>김장지원비</t>
    <phoneticPr fontId="2" type="noConversion"/>
  </si>
  <si>
    <t>건강관리지원비</t>
    <phoneticPr fontId="2" type="noConversion"/>
  </si>
  <si>
    <t>이미용지원비</t>
    <phoneticPr fontId="2" type="noConversion"/>
  </si>
  <si>
    <t>생활용품지원비</t>
    <phoneticPr fontId="2" type="noConversion"/>
  </si>
  <si>
    <t>후원결연지원비</t>
    <phoneticPr fontId="2" type="noConversion"/>
  </si>
  <si>
    <t>교육지원비</t>
    <phoneticPr fontId="2" type="noConversion"/>
  </si>
  <si>
    <t>긴급지원비</t>
    <phoneticPr fontId="2" type="noConversion"/>
  </si>
  <si>
    <t>계</t>
    <phoneticPr fontId="2" type="noConversion"/>
  </si>
  <si>
    <t>주거환경개선사업비</t>
    <phoneticPr fontId="2" type="noConversion"/>
  </si>
  <si>
    <t>방역지원비</t>
    <phoneticPr fontId="2" type="noConversion"/>
  </si>
  <si>
    <t>나들이지원비</t>
    <phoneticPr fontId="2" type="noConversion"/>
  </si>
  <si>
    <t>문화체험지원비</t>
    <phoneticPr fontId="2" type="noConversion"/>
  </si>
  <si>
    <t>외부행사지원비</t>
    <phoneticPr fontId="2" type="noConversion"/>
  </si>
  <si>
    <t>봉사자및후원자관리비</t>
    <phoneticPr fontId="2" type="noConversion"/>
  </si>
  <si>
    <t>직원연수교육비</t>
    <phoneticPr fontId="2" type="noConversion"/>
  </si>
  <si>
    <t>홍보사업비</t>
    <phoneticPr fontId="2" type="noConversion"/>
  </si>
  <si>
    <t>지역네트워크지원비</t>
    <phoneticPr fontId="2" type="noConversion"/>
  </si>
  <si>
    <t>조직관리비</t>
    <phoneticPr fontId="2" type="noConversion"/>
  </si>
  <si>
    <t>잡지출</t>
    <phoneticPr fontId="2" type="noConversion"/>
  </si>
  <si>
    <t>예비비</t>
    <phoneticPr fontId="2" type="noConversion"/>
  </si>
  <si>
    <t>예비비및기타</t>
    <phoneticPr fontId="2" type="noConversion"/>
  </si>
  <si>
    <t>반환금</t>
    <phoneticPr fontId="2" type="noConversion"/>
  </si>
  <si>
    <t>차기반환금(예금이자)</t>
    <phoneticPr fontId="2" type="noConversion"/>
  </si>
  <si>
    <t>◎잡지출</t>
    <phoneticPr fontId="2" type="noConversion"/>
  </si>
  <si>
    <t>예비비</t>
    <phoneticPr fontId="2" type="noConversion"/>
  </si>
  <si>
    <t>◎ 반환금</t>
    <phoneticPr fontId="2" type="noConversion"/>
  </si>
  <si>
    <t>◎ 차기반환금(예금이자)</t>
    <phoneticPr fontId="2" type="noConversion"/>
  </si>
  <si>
    <t>계</t>
    <phoneticPr fontId="2" type="noConversion"/>
  </si>
  <si>
    <t xml:space="preserve"> 세출 산출내역</t>
    <phoneticPr fontId="2" type="noConversion"/>
  </si>
  <si>
    <t>명</t>
    <phoneticPr fontId="2" type="noConversion"/>
  </si>
  <si>
    <t>간식지원비</t>
    <phoneticPr fontId="2" type="noConversion"/>
  </si>
  <si>
    <t>이미용지원비</t>
    <phoneticPr fontId="2" type="noConversion"/>
  </si>
  <si>
    <t>김장지원비</t>
    <phoneticPr fontId="2" type="noConversion"/>
  </si>
  <si>
    <t>◎재료비</t>
    <phoneticPr fontId="2" type="noConversion"/>
  </si>
  <si>
    <t>◎봄가을나들이</t>
    <phoneticPr fontId="2" type="noConversion"/>
  </si>
  <si>
    <t>◎소규모나들이</t>
    <phoneticPr fontId="2" type="noConversion"/>
  </si>
  <si>
    <t>문화체험비</t>
    <phoneticPr fontId="2" type="noConversion"/>
  </si>
  <si>
    <t>◎교육강사비</t>
    <phoneticPr fontId="2" type="noConversion"/>
  </si>
  <si>
    <t>◎간담회</t>
    <phoneticPr fontId="2" type="noConversion"/>
  </si>
  <si>
    <t>◎명절선물</t>
    <phoneticPr fontId="2" type="noConversion"/>
  </si>
  <si>
    <t>◎다과구입</t>
    <phoneticPr fontId="2" type="noConversion"/>
  </si>
  <si>
    <t>◎연하장발송비</t>
    <phoneticPr fontId="2" type="noConversion"/>
  </si>
  <si>
    <t>◎감사문자</t>
    <phoneticPr fontId="2" type="noConversion"/>
  </si>
  <si>
    <t>◎축의금</t>
    <phoneticPr fontId="2" type="noConversion"/>
  </si>
  <si>
    <t>◎기타관리비</t>
    <phoneticPr fontId="2" type="noConversion"/>
  </si>
  <si>
    <t>원</t>
    <phoneticPr fontId="2" type="noConversion"/>
  </si>
  <si>
    <t>홍보사업비</t>
    <phoneticPr fontId="2" type="noConversion"/>
  </si>
  <si>
    <t xml:space="preserve">◎리플렛 및 홍보제작 </t>
    <phoneticPr fontId="2" type="noConversion"/>
  </si>
  <si>
    <t>◎현수막 제작</t>
    <phoneticPr fontId="2" type="noConversion"/>
  </si>
  <si>
    <t>◎스티커 제작</t>
    <phoneticPr fontId="2" type="noConversion"/>
  </si>
  <si>
    <t>◎기타</t>
    <phoneticPr fontId="2" type="noConversion"/>
  </si>
  <si>
    <t>지역네트워크지원비</t>
    <phoneticPr fontId="2" type="noConversion"/>
  </si>
  <si>
    <t>조직관리비</t>
    <phoneticPr fontId="2" type="noConversion"/>
  </si>
  <si>
    <t>자산취득비</t>
    <phoneticPr fontId="2" type="noConversion"/>
  </si>
  <si>
    <t>시설장비유지비</t>
    <phoneticPr fontId="2" type="noConversion"/>
  </si>
  <si>
    <t>연료비</t>
    <phoneticPr fontId="2" type="noConversion"/>
  </si>
  <si>
    <t>이월급</t>
    <phoneticPr fontId="2" type="noConversion"/>
  </si>
  <si>
    <t>회</t>
    <phoneticPr fontId="2" type="noConversion"/>
  </si>
  <si>
    <t>회</t>
    <phoneticPr fontId="2" type="noConversion"/>
  </si>
  <si>
    <t>업무추진비</t>
  </si>
  <si>
    <t>운영비</t>
  </si>
  <si>
    <t>기타사업비</t>
  </si>
  <si>
    <t>주거환경
개선
사업비</t>
    <phoneticPr fontId="2" type="noConversion"/>
  </si>
  <si>
    <t>여가활동
지원사업비</t>
    <phoneticPr fontId="2" type="noConversion"/>
  </si>
  <si>
    <t>잡지출</t>
  </si>
  <si>
    <t>1) 세입내역</t>
    <phoneticPr fontId="2" type="noConversion"/>
  </si>
  <si>
    <t>2) 세출내역</t>
    <phoneticPr fontId="2" type="noConversion"/>
  </si>
  <si>
    <t xml:space="preserve"> 세입 산출내역</t>
    <phoneticPr fontId="2" type="noConversion"/>
  </si>
  <si>
    <t xml:space="preserve">◎명절상여금 </t>
    <phoneticPr fontId="2" type="noConversion"/>
  </si>
  <si>
    <t>◎퇴직적립금</t>
    <phoneticPr fontId="2" type="noConversion"/>
  </si>
  <si>
    <t>◎국민연금</t>
    <phoneticPr fontId="2" type="noConversion"/>
  </si>
  <si>
    <t>◎건강보험</t>
    <phoneticPr fontId="2" type="noConversion"/>
  </si>
  <si>
    <t>◎장기요양보험</t>
    <phoneticPr fontId="2" type="noConversion"/>
  </si>
  <si>
    <t>◎산재보험</t>
    <phoneticPr fontId="2" type="noConversion"/>
  </si>
  <si>
    <t>◎고용보험</t>
    <phoneticPr fontId="2" type="noConversion"/>
  </si>
  <si>
    <t>◎기관운영비</t>
    <phoneticPr fontId="2" type="noConversion"/>
  </si>
  <si>
    <t>◎회의비</t>
    <phoneticPr fontId="2" type="noConversion"/>
  </si>
  <si>
    <t>일상생활
지원사업비</t>
    <phoneticPr fontId="2" type="noConversion"/>
  </si>
  <si>
    <t>여가활동
지원사업비</t>
    <phoneticPr fontId="2" type="noConversion"/>
  </si>
  <si>
    <t>주거환경
개선사업비</t>
    <phoneticPr fontId="2" type="noConversion"/>
  </si>
  <si>
    <t>◎지정, 비지정후원비</t>
    <phoneticPr fontId="2" type="noConversion"/>
  </si>
  <si>
    <t>◎남구협의체</t>
    <phoneticPr fontId="2" type="noConversion"/>
  </si>
  <si>
    <t>◎지역사회협의체</t>
    <phoneticPr fontId="2" type="noConversion"/>
  </si>
  <si>
    <t>◎비지정후원금</t>
    <phoneticPr fontId="2" type="noConversion"/>
  </si>
  <si>
    <t>◎전입금</t>
    <phoneticPr fontId="2" type="noConversion"/>
  </si>
  <si>
    <t>◎전년도 이월금</t>
    <phoneticPr fontId="2" type="noConversion"/>
  </si>
  <si>
    <t>◎전년도 이월금(후원금)</t>
    <phoneticPr fontId="2" type="noConversion"/>
  </si>
  <si>
    <t>◎운영위원회</t>
    <phoneticPr fontId="2" type="noConversion"/>
  </si>
  <si>
    <t>■ 세입</t>
    <phoneticPr fontId="2" type="noConversion"/>
  </si>
  <si>
    <t>관</t>
    <phoneticPr fontId="2" type="noConversion"/>
  </si>
  <si>
    <t>증감(b-a)</t>
    <phoneticPr fontId="2" type="noConversion"/>
  </si>
  <si>
    <t>변경사유</t>
    <phoneticPr fontId="2" type="noConversion"/>
  </si>
  <si>
    <t>변경예산 총계</t>
    <phoneticPr fontId="2" type="noConversion"/>
  </si>
  <si>
    <t>■ 세출</t>
    <phoneticPr fontId="2" type="noConversion"/>
  </si>
  <si>
    <t>인건비</t>
  </si>
  <si>
    <t>◎우편료</t>
    <phoneticPr fontId="2" type="noConversion"/>
  </si>
  <si>
    <t>◎전신전화료</t>
    <phoneticPr fontId="2" type="noConversion"/>
  </si>
  <si>
    <t>◎전기료</t>
    <phoneticPr fontId="2" type="noConversion"/>
  </si>
  <si>
    <t>◎상하수도료</t>
    <phoneticPr fontId="2" type="noConversion"/>
  </si>
  <si>
    <t>원</t>
    <phoneticPr fontId="2" type="noConversion"/>
  </si>
  <si>
    <t>월</t>
    <phoneticPr fontId="2" type="noConversion"/>
  </si>
  <si>
    <t>◎협회비</t>
    <phoneticPr fontId="2" type="noConversion"/>
  </si>
  <si>
    <t>◎차량 및 시설물</t>
    <phoneticPr fontId="2" type="noConversion"/>
  </si>
  <si>
    <t>회</t>
    <phoneticPr fontId="2" type="noConversion"/>
  </si>
  <si>
    <t>◎차량유류대</t>
    <phoneticPr fontId="2" type="noConversion"/>
  </si>
  <si>
    <t>◎종사자수당</t>
    <phoneticPr fontId="2" type="noConversion"/>
  </si>
  <si>
    <t>◎관리업무수당</t>
    <phoneticPr fontId="2" type="noConversion"/>
  </si>
  <si>
    <t>사업비</t>
    <phoneticPr fontId="2" type="noConversion"/>
  </si>
  <si>
    <t>사무비</t>
    <phoneticPr fontId="2" type="noConversion"/>
  </si>
  <si>
    <t>기본급</t>
    <phoneticPr fontId="2" type="noConversion"/>
  </si>
  <si>
    <t>◎연장근로수당</t>
    <phoneticPr fontId="2" type="noConversion"/>
  </si>
  <si>
    <t>경상보조금</t>
    <phoneticPr fontId="2" type="noConversion"/>
  </si>
  <si>
    <t>◎시비</t>
    <phoneticPr fontId="2" type="noConversion"/>
  </si>
  <si>
    <t>종사자수당보조금</t>
    <phoneticPr fontId="2" type="noConversion"/>
  </si>
  <si>
    <t>◎기타 후원비</t>
    <phoneticPr fontId="2" type="noConversion"/>
  </si>
  <si>
    <t>나들이지원비</t>
    <phoneticPr fontId="2" type="noConversion"/>
  </si>
  <si>
    <t>잡지출</t>
    <phoneticPr fontId="2" type="noConversion"/>
  </si>
  <si>
    <t>후원금수입</t>
    <phoneticPr fontId="2" type="noConversion"/>
  </si>
  <si>
    <t>전입금</t>
    <phoneticPr fontId="2" type="noConversion"/>
  </si>
  <si>
    <t>인건비</t>
    <phoneticPr fontId="2" type="noConversion"/>
  </si>
  <si>
    <t>소  계</t>
    <phoneticPr fontId="2" type="noConversion"/>
  </si>
  <si>
    <t>소  계</t>
    <phoneticPr fontId="2" type="noConversion"/>
  </si>
  <si>
    <t>계</t>
    <phoneticPr fontId="2" type="noConversion"/>
  </si>
  <si>
    <t>시설비</t>
    <phoneticPr fontId="2" type="noConversion"/>
  </si>
  <si>
    <t>운영비</t>
    <phoneticPr fontId="2" type="noConversion"/>
  </si>
  <si>
    <t>일상생활
지원사업비</t>
    <phoneticPr fontId="2" type="noConversion"/>
  </si>
  <si>
    <t>계</t>
    <phoneticPr fontId="2" type="noConversion"/>
  </si>
  <si>
    <t>소  계</t>
    <phoneticPr fontId="2" type="noConversion"/>
  </si>
  <si>
    <t>예비비 및
기타</t>
    <phoneticPr fontId="2" type="noConversion"/>
  </si>
  <si>
    <t>총     계</t>
    <phoneticPr fontId="2" type="noConversion"/>
  </si>
  <si>
    <t>2015년예산(A)</t>
    <phoneticPr fontId="2" type="noConversion"/>
  </si>
  <si>
    <t>2016년예산(B)</t>
    <phoneticPr fontId="2" type="noConversion"/>
  </si>
  <si>
    <t>후원금 수입</t>
    <phoneticPr fontId="2" type="noConversion"/>
  </si>
  <si>
    <t>◎시설장</t>
    <phoneticPr fontId="2" type="noConversion"/>
  </si>
  <si>
    <t>◎사회복지사(8호봉)</t>
    <phoneticPr fontId="2" type="noConversion"/>
  </si>
  <si>
    <t>○사회복지사(8호봉)</t>
    <phoneticPr fontId="2" type="noConversion"/>
  </si>
  <si>
    <t>주거환경개선비</t>
    <phoneticPr fontId="2" type="noConversion"/>
  </si>
  <si>
    <t>원</t>
    <phoneticPr fontId="2" type="noConversion"/>
  </si>
  <si>
    <t>방역지원비</t>
    <phoneticPr fontId="2" type="noConversion"/>
  </si>
  <si>
    <t>주거환경개선비</t>
    <phoneticPr fontId="2" type="noConversion"/>
  </si>
  <si>
    <t>◎혹서기지원</t>
    <phoneticPr fontId="2" type="noConversion"/>
  </si>
  <si>
    <t>◎혹한기지원</t>
    <phoneticPr fontId="2" type="noConversion"/>
  </si>
  <si>
    <t>회</t>
    <phoneticPr fontId="2" type="noConversion"/>
  </si>
  <si>
    <t>◎건강관리소모품</t>
    <phoneticPr fontId="2" type="noConversion"/>
  </si>
  <si>
    <t>◎플루건약구입</t>
    <phoneticPr fontId="2" type="noConversion"/>
  </si>
  <si>
    <t>◎의약품구입</t>
    <phoneticPr fontId="2" type="noConversion"/>
  </si>
  <si>
    <t>건강관리지원비</t>
    <phoneticPr fontId="2" type="noConversion"/>
  </si>
  <si>
    <t>◎지정후원금</t>
    <phoneticPr fontId="2" type="noConversion"/>
  </si>
  <si>
    <t>x</t>
    <phoneticPr fontId="2" type="noConversion"/>
  </si>
  <si>
    <t>○시설장</t>
    <phoneticPr fontId="2" type="noConversion"/>
  </si>
  <si>
    <t>○조리사</t>
    <phoneticPr fontId="2" type="noConversion"/>
  </si>
  <si>
    <t>◎ 예비비</t>
    <phoneticPr fontId="2" type="noConversion"/>
  </si>
  <si>
    <t>분기</t>
    <phoneticPr fontId="2" type="noConversion"/>
  </si>
  <si>
    <t>◎기타보험료</t>
    <phoneticPr fontId="2" type="noConversion"/>
  </si>
  <si>
    <t>분기</t>
    <phoneticPr fontId="2" type="noConversion"/>
  </si>
  <si>
    <t>원</t>
    <phoneticPr fontId="2" type="noConversion"/>
  </si>
  <si>
    <t>◎차랑정비유지비</t>
    <phoneticPr fontId="2" type="noConversion"/>
  </si>
  <si>
    <t>2016년 참좋은노인복지센터 재가노인지원 일반사업 예산(안) 총괄내역서</t>
    <phoneticPr fontId="2" type="noConversion"/>
  </si>
  <si>
    <t>2015년
예산(A)</t>
    <phoneticPr fontId="2" type="noConversion"/>
  </si>
  <si>
    <t>2016년
예산(B)</t>
    <phoneticPr fontId="2" type="noConversion"/>
  </si>
  <si>
    <t>2015년
예산(B)</t>
    <phoneticPr fontId="2" type="noConversion"/>
  </si>
  <si>
    <t>취사연료비</t>
    <phoneticPr fontId="2" type="noConversion"/>
  </si>
  <si>
    <t>원</t>
    <phoneticPr fontId="2" type="noConversion"/>
  </si>
  <si>
    <t>◎단열필름</t>
    <phoneticPr fontId="2" type="noConversion"/>
  </si>
  <si>
    <t>◎집수리</t>
    <phoneticPr fontId="2" type="noConversion"/>
  </si>
  <si>
    <t>분기</t>
    <phoneticPr fontId="2" type="noConversion"/>
  </si>
  <si>
    <t>◎해충퇴치약구입</t>
    <phoneticPr fontId="2" type="noConversion"/>
  </si>
  <si>
    <t>회</t>
    <phoneticPr fontId="2" type="noConversion"/>
  </si>
  <si>
    <t>연로비</t>
    <phoneticPr fontId="2" type="noConversion"/>
  </si>
  <si>
    <t>취사연료비</t>
    <phoneticPr fontId="2" type="noConversion"/>
  </si>
  <si>
    <t>◎긴급지원비</t>
    <phoneticPr fontId="2" type="noConversion"/>
  </si>
  <si>
    <t>원</t>
    <phoneticPr fontId="2" type="noConversion"/>
  </si>
  <si>
    <t>x</t>
  </si>
  <si>
    <t>회</t>
    <phoneticPr fontId="2" type="noConversion"/>
  </si>
  <si>
    <t>원</t>
    <phoneticPr fontId="2" type="noConversion"/>
  </si>
  <si>
    <t>x</t>
    <phoneticPr fontId="2" type="noConversion"/>
  </si>
  <si>
    <t>월</t>
    <phoneticPr fontId="2" type="noConversion"/>
  </si>
  <si>
    <t>명</t>
    <phoneticPr fontId="2" type="noConversion"/>
  </si>
  <si>
    <t>집수리지원비</t>
    <phoneticPr fontId="2" type="noConversion"/>
  </si>
  <si>
    <t>주거환경개선비</t>
    <phoneticPr fontId="2" type="noConversion"/>
  </si>
  <si>
    <t>김상민</t>
    <phoneticPr fontId="2" type="noConversion"/>
  </si>
  <si>
    <t>○사회복지사(13호봉)</t>
    <phoneticPr fontId="2" type="noConversion"/>
  </si>
  <si>
    <t>◎사회복지사(13호봉)</t>
    <phoneticPr fontId="2" type="noConversion"/>
  </si>
  <si>
    <t>○사회복지사(13호봉)</t>
    <phoneticPr fontId="2" type="noConversion"/>
  </si>
  <si>
    <t>김상민</t>
    <phoneticPr fontId="2" type="noConversion"/>
  </si>
  <si>
    <t>원헤주</t>
    <phoneticPr fontId="2" type="noConversion"/>
  </si>
  <si>
    <t>x</t>
    <phoneticPr fontId="2" type="noConversion"/>
  </si>
  <si>
    <t xml:space="preserve">명 </t>
    <phoneticPr fontId="2" type="noConversion"/>
  </si>
  <si>
    <t xml:space="preserve">x </t>
    <phoneticPr fontId="2" type="noConversion"/>
  </si>
  <si>
    <t>개</t>
    <phoneticPr fontId="2" type="noConversion"/>
  </si>
  <si>
    <t>보조금수입</t>
    <phoneticPr fontId="2" type="noConversion"/>
  </si>
  <si>
    <t>경상보조금</t>
    <phoneticPr fontId="2" type="noConversion"/>
  </si>
  <si>
    <t>후원금수입</t>
    <phoneticPr fontId="2" type="noConversion"/>
  </si>
  <si>
    <t>지정후원금</t>
    <phoneticPr fontId="2" type="noConversion"/>
  </si>
  <si>
    <t>전입금</t>
    <phoneticPr fontId="2" type="noConversion"/>
  </si>
  <si>
    <t>이월금</t>
    <phoneticPr fontId="2" type="noConversion"/>
  </si>
  <si>
    <t>전년도이월금</t>
    <phoneticPr fontId="2" type="noConversion"/>
  </si>
  <si>
    <t>잡수입</t>
    <phoneticPr fontId="2" type="noConversion"/>
  </si>
  <si>
    <t>기타잡수입</t>
    <phoneticPr fontId="2" type="noConversion"/>
  </si>
  <si>
    <t>전년도이월금(후원금)</t>
    <phoneticPr fontId="2" type="noConversion"/>
  </si>
  <si>
    <t xml:space="preserve">긴급지원비 포함에 따른 증액 </t>
    <phoneticPr fontId="2" type="noConversion"/>
  </si>
  <si>
    <t>지정후원자 모집활동을 통한 증액</t>
    <phoneticPr fontId="2" type="noConversion"/>
  </si>
  <si>
    <t>사회복지사 인사발령에 따른 증액</t>
    <phoneticPr fontId="2" type="noConversion"/>
  </si>
  <si>
    <t>이월금 조정에 따른 증액</t>
    <phoneticPr fontId="2" type="noConversion"/>
  </si>
  <si>
    <t>이월금(후원금) 조정에 따른 증액</t>
    <phoneticPr fontId="2" type="noConversion"/>
  </si>
  <si>
    <t>운영비</t>
    <phoneticPr fontId="2" type="noConversion"/>
  </si>
  <si>
    <t>사업비</t>
    <phoneticPr fontId="2" type="noConversion"/>
  </si>
  <si>
    <t>사업 조정</t>
    <phoneticPr fontId="2" type="noConversion"/>
  </si>
  <si>
    <t>인사발령에 따른 사회복지사  급여 변동</t>
    <phoneticPr fontId="2" type="noConversion"/>
  </si>
  <si>
    <t>업무추진비</t>
    <phoneticPr fontId="2" type="noConversion"/>
  </si>
  <si>
    <t>기관운영비</t>
    <phoneticPr fontId="2" type="noConversion"/>
  </si>
  <si>
    <t>기관운영비 조정</t>
    <phoneticPr fontId="2" type="noConversion"/>
  </si>
  <si>
    <t>회의비</t>
    <phoneticPr fontId="2" type="noConversion"/>
  </si>
  <si>
    <t>회의비 조정</t>
    <phoneticPr fontId="2" type="noConversion"/>
  </si>
  <si>
    <t>운영비</t>
    <phoneticPr fontId="2" type="noConversion"/>
  </si>
  <si>
    <t>여비</t>
    <phoneticPr fontId="2" type="noConversion"/>
  </si>
  <si>
    <t>여비 횟수 및 금액 조정</t>
    <phoneticPr fontId="2" type="noConversion"/>
  </si>
  <si>
    <t>수용비및수수료</t>
    <phoneticPr fontId="2" type="noConversion"/>
  </si>
  <si>
    <t>소모품 및 수수료, 금액 조정</t>
    <phoneticPr fontId="2" type="noConversion"/>
  </si>
  <si>
    <t>공공요금</t>
    <phoneticPr fontId="2" type="noConversion"/>
  </si>
  <si>
    <t>우편료,전화료,전기료,상하수도료 금액 조정</t>
    <phoneticPr fontId="2" type="noConversion"/>
  </si>
  <si>
    <t>제세공과금</t>
    <phoneticPr fontId="2" type="noConversion"/>
  </si>
  <si>
    <t xml:space="preserve">제세공과금비 금액 조정 </t>
    <phoneticPr fontId="2" type="noConversion"/>
  </si>
  <si>
    <t>차량비</t>
    <phoneticPr fontId="2" type="noConversion"/>
  </si>
  <si>
    <t>차량유류대, 정비비 금액 조정</t>
    <phoneticPr fontId="2" type="noConversion"/>
  </si>
  <si>
    <t>건강관리지원비</t>
    <phoneticPr fontId="2" type="noConversion"/>
  </si>
  <si>
    <t>후원개발을 통한 금액 조정</t>
    <phoneticPr fontId="2" type="noConversion"/>
  </si>
  <si>
    <t>간식지원비</t>
    <phoneticPr fontId="2" type="noConversion"/>
  </si>
  <si>
    <t>사업 조정</t>
    <phoneticPr fontId="2" type="noConversion"/>
  </si>
  <si>
    <t>생활용품지원비</t>
    <phoneticPr fontId="2" type="noConversion"/>
  </si>
  <si>
    <t>생활용품사업 횟수 조정</t>
    <phoneticPr fontId="2" type="noConversion"/>
  </si>
  <si>
    <t>후원결연지원비</t>
    <phoneticPr fontId="2" type="noConversion"/>
  </si>
  <si>
    <t>결연인원 조정</t>
    <phoneticPr fontId="2" type="noConversion"/>
  </si>
  <si>
    <t xml:space="preserve">혹서기,혹한기 금액 조정 </t>
    <phoneticPr fontId="2" type="noConversion"/>
  </si>
  <si>
    <t>집수리지원비</t>
    <phoneticPr fontId="2" type="noConversion"/>
  </si>
  <si>
    <t>주거환경개선비</t>
    <phoneticPr fontId="2" type="noConversion"/>
  </si>
  <si>
    <t>단열필름 및 집수리 금액 조정</t>
    <phoneticPr fontId="2" type="noConversion"/>
  </si>
  <si>
    <t xml:space="preserve">플루건기계로 인한 금액 조정 </t>
    <phoneticPr fontId="2" type="noConversion"/>
  </si>
  <si>
    <t>여가활동지원사업비</t>
    <phoneticPr fontId="2" type="noConversion"/>
  </si>
  <si>
    <t>나들이지원비 조정</t>
    <phoneticPr fontId="2" type="noConversion"/>
  </si>
  <si>
    <t>문화체험지원비</t>
    <phoneticPr fontId="2" type="noConversion"/>
  </si>
  <si>
    <t>문화체험비 금액 조정</t>
    <phoneticPr fontId="2" type="noConversion"/>
  </si>
  <si>
    <t>기타지원사업비</t>
    <phoneticPr fontId="2" type="noConversion"/>
  </si>
  <si>
    <t>봉사자및후원자관리비</t>
    <phoneticPr fontId="2" type="noConversion"/>
  </si>
  <si>
    <t>관리비 금액 조정</t>
    <phoneticPr fontId="2" type="noConversion"/>
  </si>
  <si>
    <t>직원연수교육비</t>
    <phoneticPr fontId="2" type="noConversion"/>
  </si>
  <si>
    <t>연수 및 교육비 조정</t>
    <phoneticPr fontId="2" type="noConversion"/>
  </si>
  <si>
    <t>지역네트워크지원비</t>
    <phoneticPr fontId="2" type="noConversion"/>
  </si>
  <si>
    <t>횟수 및 금액 조정</t>
    <phoneticPr fontId="2" type="noConversion"/>
  </si>
  <si>
    <t>잡지출</t>
    <phoneticPr fontId="2" type="noConversion"/>
  </si>
  <si>
    <t>잡지출 조정</t>
    <phoneticPr fontId="2" type="noConversion"/>
  </si>
  <si>
    <t>예비비및기타</t>
    <phoneticPr fontId="2" type="noConversion"/>
  </si>
  <si>
    <t>예비비</t>
    <phoneticPr fontId="2" type="noConversion"/>
  </si>
  <si>
    <t>예비비 조정</t>
    <phoneticPr fontId="2" type="noConversion"/>
  </si>
  <si>
    <t>2015년 예산(a)</t>
    <phoneticPr fontId="13" type="noConversion"/>
  </si>
  <si>
    <t>2016년 예산(b)</t>
    <phoneticPr fontId="2" type="noConversion"/>
  </si>
  <si>
    <t>기타예금이자수입</t>
    <phoneticPr fontId="2" type="noConversion"/>
  </si>
  <si>
    <t>기타잡수입 조정</t>
    <phoneticPr fontId="2" type="noConversion"/>
  </si>
  <si>
    <t>예금이자 조정</t>
    <phoneticPr fontId="2" type="noConversion"/>
  </si>
  <si>
    <t>연료비</t>
    <phoneticPr fontId="2" type="noConversion"/>
  </si>
  <si>
    <t>취사연료비</t>
    <phoneticPr fontId="2" type="noConversion"/>
  </si>
  <si>
    <t>사업 조정 및 취사연료비 조정</t>
    <phoneticPr fontId="2" type="noConversion"/>
  </si>
  <si>
    <t>이미용지원비</t>
    <phoneticPr fontId="2" type="noConversion"/>
  </si>
  <si>
    <t>이미용지원사업비 조정</t>
    <phoneticPr fontId="2" type="noConversion"/>
  </si>
  <si>
    <t>홍보사업비</t>
    <phoneticPr fontId="2" type="noConversion"/>
  </si>
  <si>
    <t>홍보사업비 조정</t>
    <phoneticPr fontId="2" type="noConversion"/>
  </si>
  <si>
    <t>일상생활지원사업비</t>
    <phoneticPr fontId="2" type="noConversion"/>
  </si>
  <si>
    <t>2016년 예산 변경 사유 (재가노인지원 일반사업)</t>
    <phoneticPr fontId="2" type="noConversion"/>
  </si>
  <si>
    <t>기타잡수입</t>
    <phoneticPr fontId="2" type="noConversion"/>
  </si>
  <si>
    <t>◎기타예금이자수입</t>
    <phoneticPr fontId="2" type="noConversion"/>
  </si>
  <si>
    <t>기타잡수입</t>
    <phoneticPr fontId="2" type="noConversion"/>
  </si>
  <si>
    <t>◎식대</t>
    <phoneticPr fontId="2" type="noConversion"/>
  </si>
  <si>
    <t>원</t>
    <phoneticPr fontId="2" type="noConversion"/>
  </si>
  <si>
    <t>x</t>
    <phoneticPr fontId="2" type="noConversion"/>
  </si>
  <si>
    <t>명</t>
    <phoneticPr fontId="2" type="noConversion"/>
  </si>
  <si>
    <t>월</t>
    <phoneticPr fontId="2" type="noConversion"/>
  </si>
  <si>
    <t>x</t>
    <phoneticPr fontId="2" type="noConversion"/>
  </si>
  <si>
    <t>2016년 참좋은노인복지센터 재가노인지원 식사배달사업 예산(안) 총괄내역서</t>
    <phoneticPr fontId="2" type="noConversion"/>
  </si>
  <si>
    <t>도시락보조금</t>
    <phoneticPr fontId="2" type="noConversion"/>
  </si>
  <si>
    <t>◎도시락보조금</t>
    <phoneticPr fontId="2" type="noConversion"/>
  </si>
  <si>
    <t>일</t>
    <phoneticPr fontId="2" type="noConversion"/>
  </si>
  <si>
    <t>밑반찬보조금</t>
    <phoneticPr fontId="2" type="noConversion"/>
  </si>
  <si>
    <t>◎밑반찬보조금</t>
    <phoneticPr fontId="2" type="noConversion"/>
  </si>
  <si>
    <t>주</t>
    <phoneticPr fontId="2" type="noConversion"/>
  </si>
  <si>
    <t>전입금수입</t>
    <phoneticPr fontId="2" type="noConversion"/>
  </si>
  <si>
    <t>사업비</t>
    <phoneticPr fontId="2" type="noConversion"/>
  </si>
  <si>
    <t>계</t>
    <phoneticPr fontId="2" type="noConversion"/>
  </si>
  <si>
    <t>일상생활
지원사업비</t>
    <phoneticPr fontId="2" type="noConversion"/>
  </si>
  <si>
    <t>소계</t>
    <phoneticPr fontId="2" type="noConversion"/>
  </si>
  <si>
    <t>도시락지원서비스</t>
    <phoneticPr fontId="2" type="noConversion"/>
  </si>
  <si>
    <t>보조금</t>
    <phoneticPr fontId="2" type="noConversion"/>
  </si>
  <si>
    <t>원</t>
    <phoneticPr fontId="2" type="noConversion"/>
  </si>
  <si>
    <t>밑반찬지원서비스</t>
    <phoneticPr fontId="2" type="noConversion"/>
  </si>
  <si>
    <t>예비비및기타</t>
    <phoneticPr fontId="2" type="noConversion"/>
  </si>
  <si>
    <t xml:space="preserve"> </t>
    <phoneticPr fontId="2" type="noConversion"/>
  </si>
  <si>
    <t>반환금</t>
    <phoneticPr fontId="2" type="noConversion"/>
  </si>
  <si>
    <t>x</t>
    <phoneticPr fontId="2" type="noConversion"/>
  </si>
  <si>
    <t>회</t>
    <phoneticPr fontId="2" type="noConversion"/>
  </si>
  <si>
    <t>차기반환금(예금이자)</t>
    <phoneticPr fontId="2" type="noConversion"/>
  </si>
  <si>
    <t>`</t>
    <phoneticPr fontId="2" type="noConversion"/>
  </si>
  <si>
    <t>2016년 참좋은노인복지센터 방문요양사업 예산(안) 총괄내역서</t>
    <phoneticPr fontId="2" type="noConversion"/>
  </si>
  <si>
    <t>(단위 : 원)</t>
    <phoneticPr fontId="2" type="noConversion"/>
  </si>
  <si>
    <t xml:space="preserve"> 세              입</t>
    <phoneticPr fontId="2" type="noConversion"/>
  </si>
  <si>
    <t>세              출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</si>
  <si>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</si>
  <si>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</si>
  <si>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</si>
  <si>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2015년
예산(A)</t>
    <phoneticPr fontId="2" type="noConversion"/>
  </si>
  <si>
    <t>2016년
예산(B)</t>
    <phoneticPr fontId="2" type="noConversion"/>
  </si>
  <si>
    <t>증감(B-A)</t>
    <phoneticPr fontId="2" type="noConversion"/>
  </si>
  <si>
    <t>금 액</t>
    <phoneticPr fontId="2" type="noConversion"/>
  </si>
  <si>
    <t>%</t>
    <phoneticPr fontId="2" type="noConversion"/>
  </si>
  <si>
    <t>총     계</t>
    <phoneticPr fontId="2" type="noConversion"/>
  </si>
  <si>
    <t>이용자
부담금수입</t>
    <phoneticPr fontId="2" type="noConversion"/>
  </si>
  <si>
    <t>계</t>
    <phoneticPr fontId="2" type="noConversion"/>
  </si>
  <si>
    <t>이용자
비용수입</t>
    <phoneticPr fontId="2" type="noConversion"/>
  </si>
  <si>
    <t>소계</t>
    <phoneticPr fontId="2" type="noConversion"/>
  </si>
  <si>
    <t>소  계</t>
    <phoneticPr fontId="2" type="noConversion"/>
  </si>
  <si>
    <t>이용자수입</t>
    <phoneticPr fontId="2" type="noConversion"/>
  </si>
  <si>
    <t>요양급여
수입</t>
    <phoneticPr fontId="2" type="noConversion"/>
  </si>
  <si>
    <t>요양급여수입</t>
    <phoneticPr fontId="2" type="noConversion"/>
  </si>
  <si>
    <t>이월금</t>
    <phoneticPr fontId="2" type="noConversion"/>
  </si>
  <si>
    <t>과년도수입</t>
    <phoneticPr fontId="2" type="noConversion"/>
  </si>
  <si>
    <t>잡수입</t>
    <phoneticPr fontId="2" type="noConversion"/>
  </si>
  <si>
    <t>예금이자수입</t>
    <phoneticPr fontId="2" type="noConversion"/>
  </si>
  <si>
    <t>식대</t>
    <phoneticPr fontId="2" type="noConversion"/>
  </si>
  <si>
    <t>기타운영비</t>
    <phoneticPr fontId="2" type="noConversion"/>
  </si>
  <si>
    <t>기타운영비</t>
    <phoneticPr fontId="2" type="noConversion"/>
  </si>
  <si>
    <t>시설비</t>
    <phoneticPr fontId="2" type="noConversion"/>
  </si>
  <si>
    <t>장기요양
대상자관리
사업</t>
    <phoneticPr fontId="2" type="noConversion"/>
  </si>
  <si>
    <t>요양보호사
관리사업</t>
    <phoneticPr fontId="2" type="noConversion"/>
  </si>
  <si>
    <t>요양보호사
관리사업</t>
    <phoneticPr fontId="2" type="noConversion"/>
  </si>
  <si>
    <t>사업비</t>
    <phoneticPr fontId="2" type="noConversion"/>
  </si>
  <si>
    <t>간담회</t>
    <phoneticPr fontId="2" type="noConversion"/>
  </si>
  <si>
    <t>간담회</t>
    <phoneticPr fontId="2" type="noConversion"/>
  </si>
  <si>
    <t>기타사업비</t>
    <phoneticPr fontId="2" type="noConversion"/>
  </si>
  <si>
    <t>전출금</t>
    <phoneticPr fontId="2" type="noConversion"/>
  </si>
  <si>
    <t>전출금</t>
    <phoneticPr fontId="2" type="noConversion"/>
  </si>
  <si>
    <t>운영충당
적립금</t>
    <phoneticPr fontId="2" type="noConversion"/>
  </si>
  <si>
    <t>환경개선
준비금</t>
    <phoneticPr fontId="2" type="noConversion"/>
  </si>
  <si>
    <t>식대</t>
    <phoneticPr fontId="2" type="noConversion"/>
  </si>
  <si>
    <t>◎예금이자수입</t>
    <phoneticPr fontId="2" type="noConversion"/>
  </si>
  <si>
    <t>예금이자수입</t>
    <phoneticPr fontId="2" type="noConversion"/>
  </si>
  <si>
    <t>◎직무교육비</t>
    <phoneticPr fontId="2" type="noConversion"/>
  </si>
  <si>
    <t>◎과년도수입</t>
    <phoneticPr fontId="2" type="noConversion"/>
  </si>
  <si>
    <t>◎장기요양사업수입</t>
    <phoneticPr fontId="2" type="noConversion"/>
  </si>
  <si>
    <t>장기요양급여수입</t>
    <phoneticPr fontId="2" type="noConversion"/>
  </si>
  <si>
    <t>장기요양사업수입</t>
    <phoneticPr fontId="2" type="noConversion"/>
  </si>
  <si>
    <t>◎이용자비용수입</t>
    <phoneticPr fontId="2" type="noConversion"/>
  </si>
  <si>
    <t>이용자비용수입</t>
    <phoneticPr fontId="2" type="noConversion"/>
  </si>
  <si>
    <t>급여</t>
    <phoneticPr fontId="2" type="noConversion"/>
  </si>
  <si>
    <t>◎사회복지사(3호봉)</t>
    <phoneticPr fontId="2" type="noConversion"/>
  </si>
  <si>
    <t>정재윤</t>
    <phoneticPr fontId="2" type="noConversion"/>
  </si>
  <si>
    <t>◎사회복지사(4호봉)</t>
    <phoneticPr fontId="2" type="noConversion"/>
  </si>
  <si>
    <t>◎요양보호사급여</t>
    <phoneticPr fontId="2" type="noConversion"/>
  </si>
  <si>
    <t>◎봉축수당</t>
    <phoneticPr fontId="2" type="noConversion"/>
  </si>
  <si>
    <t>◎요양보호사</t>
    <phoneticPr fontId="2" type="noConversion"/>
  </si>
  <si>
    <t>◎근무복</t>
    <phoneticPr fontId="2" type="noConversion"/>
  </si>
  <si>
    <t>◎기타후생경비</t>
    <phoneticPr fontId="2" type="noConversion"/>
  </si>
  <si>
    <t>◎직원식대</t>
    <phoneticPr fontId="2" type="noConversion"/>
  </si>
  <si>
    <t>◎사무용품구입</t>
    <phoneticPr fontId="2" type="noConversion"/>
  </si>
  <si>
    <t>◎기타수용비및수수료</t>
    <phoneticPr fontId="2" type="noConversion"/>
  </si>
  <si>
    <t>◎급여비용명세서발송</t>
    <phoneticPr fontId="2" type="noConversion"/>
  </si>
  <si>
    <t>◎소식지발송</t>
    <phoneticPr fontId="2" type="noConversion"/>
  </si>
  <si>
    <t>◎기타공공요금</t>
    <phoneticPr fontId="2" type="noConversion"/>
  </si>
  <si>
    <t>◎상해보험</t>
    <phoneticPr fontId="2" type="noConversion"/>
  </si>
  <si>
    <t>◎배상책임보험</t>
    <phoneticPr fontId="2" type="noConversion"/>
  </si>
  <si>
    <t>◎차량보험료</t>
    <phoneticPr fontId="2" type="noConversion"/>
  </si>
  <si>
    <t>◎차량유류비</t>
    <phoneticPr fontId="2" type="noConversion"/>
  </si>
  <si>
    <t>◎차량유지비</t>
    <phoneticPr fontId="2" type="noConversion"/>
  </si>
  <si>
    <t>◎사무실임대료</t>
    <phoneticPr fontId="2" type="noConversion"/>
  </si>
  <si>
    <t>◎기타운영비</t>
    <phoneticPr fontId="2" type="noConversion"/>
  </si>
  <si>
    <t>◎기타물품구입</t>
    <phoneticPr fontId="2" type="noConversion"/>
  </si>
  <si>
    <t>장기요양
대상자관리사업</t>
    <phoneticPr fontId="2" type="noConversion"/>
  </si>
  <si>
    <t>김장서비스</t>
    <phoneticPr fontId="2" type="noConversion"/>
  </si>
  <si>
    <t>어버이날선물지원</t>
    <phoneticPr fontId="2" type="noConversion"/>
  </si>
  <si>
    <t>생신지원</t>
    <phoneticPr fontId="2" type="noConversion"/>
  </si>
  <si>
    <t>명절지원</t>
    <phoneticPr fontId="2" type="noConversion"/>
  </si>
  <si>
    <t>혹서한기지원</t>
    <phoneticPr fontId="2" type="noConversion"/>
  </si>
  <si>
    <t>특식지원</t>
    <phoneticPr fontId="2" type="noConversion"/>
  </si>
  <si>
    <t>기타지원</t>
    <phoneticPr fontId="2" type="noConversion"/>
  </si>
  <si>
    <t>◎사후관리</t>
    <phoneticPr fontId="2" type="noConversion"/>
  </si>
  <si>
    <t>◎병문안</t>
    <phoneticPr fontId="2" type="noConversion"/>
  </si>
  <si>
    <t>◎기타지원</t>
    <phoneticPr fontId="2" type="noConversion"/>
  </si>
  <si>
    <t>관리지원사업</t>
    <phoneticPr fontId="2" type="noConversion"/>
  </si>
  <si>
    <t>◎우수요양보호사표창</t>
    <phoneticPr fontId="2" type="noConversion"/>
  </si>
  <si>
    <t>◎요양보호사직원연수</t>
    <phoneticPr fontId="2" type="noConversion"/>
  </si>
  <si>
    <t>직무교육사업</t>
    <phoneticPr fontId="2" type="noConversion"/>
  </si>
  <si>
    <t>◎기타교육비</t>
    <phoneticPr fontId="2" type="noConversion"/>
  </si>
  <si>
    <t>계몽홍보사업</t>
    <phoneticPr fontId="2" type="noConversion"/>
  </si>
  <si>
    <t>지역사회조직사업</t>
    <phoneticPr fontId="2" type="noConversion"/>
  </si>
  <si>
    <t>직원연수</t>
    <phoneticPr fontId="2" type="noConversion"/>
  </si>
  <si>
    <t>직원교육비</t>
    <phoneticPr fontId="2" type="noConversion"/>
  </si>
  <si>
    <t>◎직원(교육)</t>
    <phoneticPr fontId="2" type="noConversion"/>
  </si>
  <si>
    <t>자원봉사자관리</t>
    <phoneticPr fontId="2" type="noConversion"/>
  </si>
  <si>
    <t>◎재가지원사업전출금</t>
    <phoneticPr fontId="2" type="noConversion"/>
  </si>
  <si>
    <t>◎밑반찬도시락지원전출금</t>
    <phoneticPr fontId="2" type="noConversion"/>
  </si>
  <si>
    <t>◎법인전출금</t>
    <phoneticPr fontId="2" type="noConversion"/>
  </si>
  <si>
    <t>과년도지출</t>
    <phoneticPr fontId="2" type="noConversion"/>
  </si>
  <si>
    <t>적립금</t>
    <phoneticPr fontId="2" type="noConversion"/>
  </si>
  <si>
    <t>운영충당적립금</t>
    <phoneticPr fontId="2" type="noConversion"/>
  </si>
  <si>
    <t>준비금</t>
    <phoneticPr fontId="2" type="noConversion"/>
  </si>
  <si>
    <t>환경개선준비금</t>
    <phoneticPr fontId="2" type="noConversion"/>
  </si>
  <si>
    <t>시설환경개선준비금</t>
    <phoneticPr fontId="2" type="noConversion"/>
  </si>
  <si>
    <t>2016년 참좋은노인복지센터 노인돌봄사업 예산(안) 총괄내역서</t>
    <phoneticPr fontId="2" type="noConversion"/>
  </si>
  <si>
    <t>계</t>
  </si>
  <si>
    <t>사업수입</t>
    <phoneticPr fontId="2" type="noConversion"/>
  </si>
  <si>
    <t>노인돌봄사업수입</t>
    <phoneticPr fontId="2" type="noConversion"/>
  </si>
  <si>
    <t>11월 현재 대상자 기준</t>
    <phoneticPr fontId="2" type="noConversion"/>
  </si>
  <si>
    <t>27시간</t>
    <phoneticPr fontId="2" type="noConversion"/>
  </si>
  <si>
    <t xml:space="preserve">* </t>
    <phoneticPr fontId="2" type="noConversion"/>
  </si>
  <si>
    <t>7명</t>
    <phoneticPr fontId="2" type="noConversion"/>
  </si>
  <si>
    <t>◎노인돌봄사업수입</t>
    <phoneticPr fontId="2" type="noConversion"/>
  </si>
  <si>
    <t>36시간</t>
    <phoneticPr fontId="2" type="noConversion"/>
  </si>
  <si>
    <t>28명</t>
    <phoneticPr fontId="2" type="noConversion"/>
  </si>
  <si>
    <t>◎잡수입(교육환급금)</t>
    <phoneticPr fontId="2" type="noConversion"/>
  </si>
  <si>
    <t>2015년예산
(A)</t>
    <phoneticPr fontId="2" type="noConversion"/>
  </si>
  <si>
    <t>2016년예산
(B)</t>
    <phoneticPr fontId="2" type="noConversion"/>
  </si>
  <si>
    <t>시간</t>
    <phoneticPr fontId="2" type="noConversion"/>
  </si>
  <si>
    <t>시급</t>
    <phoneticPr fontId="2" type="noConversion"/>
  </si>
  <si>
    <t>총금액</t>
    <phoneticPr fontId="2" type="noConversion"/>
  </si>
  <si>
    <t>◎노인돌보미급여</t>
    <phoneticPr fontId="2" type="noConversion"/>
  </si>
  <si>
    <t>*</t>
    <phoneticPr fontId="2" type="noConversion"/>
  </si>
  <si>
    <t>◎명절수당</t>
    <phoneticPr fontId="2" type="noConversion"/>
  </si>
  <si>
    <t>◎근무복구입</t>
    <phoneticPr fontId="2" type="noConversion"/>
  </si>
  <si>
    <t>◎단말기사용료</t>
    <phoneticPr fontId="2" type="noConversion"/>
  </si>
  <si>
    <t>◎기타수용비수수료</t>
    <phoneticPr fontId="2" type="noConversion"/>
  </si>
  <si>
    <t>◎우편발송</t>
    <phoneticPr fontId="2" type="noConversion"/>
  </si>
  <si>
    <t>◎육화전전기료</t>
    <phoneticPr fontId="2" type="noConversion"/>
  </si>
  <si>
    <t>○배상책임보험</t>
    <phoneticPr fontId="2" type="noConversion"/>
  </si>
  <si>
    <t>○상해보험</t>
    <phoneticPr fontId="2" type="noConversion"/>
  </si>
  <si>
    <t>○기타제세공과금</t>
    <phoneticPr fontId="2" type="noConversion"/>
  </si>
  <si>
    <t>시설장비유지비</t>
    <phoneticPr fontId="2" type="noConversion"/>
  </si>
  <si>
    <t>월</t>
    <phoneticPr fontId="2" type="noConversion"/>
  </si>
  <si>
    <t>소  계</t>
    <phoneticPr fontId="2" type="noConversion"/>
  </si>
  <si>
    <t>대상자관리사업</t>
    <phoneticPr fontId="2" type="noConversion"/>
  </si>
  <si>
    <t>◎대상자관리사업</t>
    <phoneticPr fontId="2" type="noConversion"/>
  </si>
  <si>
    <t>○어버이날지원</t>
    <phoneticPr fontId="2" type="noConversion"/>
  </si>
  <si>
    <t>명</t>
    <phoneticPr fontId="2" type="noConversion"/>
  </si>
  <si>
    <t>○명절지원</t>
    <phoneticPr fontId="2" type="noConversion"/>
  </si>
  <si>
    <t>○김장지원</t>
    <phoneticPr fontId="2" type="noConversion"/>
  </si>
  <si>
    <t>○특식지원</t>
    <phoneticPr fontId="2" type="noConversion"/>
  </si>
  <si>
    <t>○긴급지원(혹서한기)</t>
    <phoneticPr fontId="2" type="noConversion"/>
  </si>
  <si>
    <t>○기타지원</t>
    <phoneticPr fontId="2" type="noConversion"/>
  </si>
  <si>
    <t xml:space="preserve"> 분기</t>
    <phoneticPr fontId="2" type="noConversion"/>
  </si>
  <si>
    <t>돌보미관리사업</t>
    <phoneticPr fontId="2" type="noConversion"/>
  </si>
  <si>
    <t>◎돌보미관리사업</t>
    <phoneticPr fontId="2" type="noConversion"/>
  </si>
  <si>
    <t>○직원연수</t>
    <phoneticPr fontId="2" type="noConversion"/>
  </si>
  <si>
    <t>○직무교육비</t>
    <phoneticPr fontId="2" type="noConversion"/>
  </si>
  <si>
    <t>○간담회</t>
    <phoneticPr fontId="2" type="noConversion"/>
  </si>
  <si>
    <t>○우수노인돌보미표창</t>
    <phoneticPr fontId="2" type="noConversion"/>
  </si>
  <si>
    <t>○기타노인돌보미관리</t>
    <phoneticPr fontId="2" type="noConversion"/>
  </si>
  <si>
    <t>기타사업비</t>
    <phoneticPr fontId="2" type="noConversion"/>
  </si>
  <si>
    <t>◎기타사업비</t>
    <phoneticPr fontId="2" type="noConversion"/>
  </si>
  <si>
    <t>○홍보비</t>
    <phoneticPr fontId="2" type="noConversion"/>
  </si>
  <si>
    <t>○교육비</t>
    <phoneticPr fontId="2" type="noConversion"/>
  </si>
  <si>
    <t>○기타사업비</t>
    <phoneticPr fontId="2" type="noConversion"/>
  </si>
  <si>
    <t>예비비</t>
    <phoneticPr fontId="2" type="noConversion"/>
  </si>
  <si>
    <t>잡지출</t>
    <phoneticPr fontId="2" type="noConversion"/>
  </si>
  <si>
    <t>2016년 참좋은노인복지센터 특별회계 예산(안) 총괄내역서</t>
    <phoneticPr fontId="2" type="noConversion"/>
  </si>
  <si>
    <t>재산조성
충당금</t>
    <phoneticPr fontId="2" type="noConversion"/>
  </si>
  <si>
    <t>재산
조성충당금</t>
    <phoneticPr fontId="2" type="noConversion"/>
  </si>
  <si>
    <t>재산조성충당금</t>
    <phoneticPr fontId="2" type="noConversion"/>
  </si>
  <si>
    <t>건물재산조성충당금</t>
    <phoneticPr fontId="2" type="noConversion"/>
  </si>
  <si>
    <t>◎건물재산조성충당금</t>
    <phoneticPr fontId="2" type="noConversion"/>
  </si>
  <si>
    <t>비품재산조성충당금</t>
    <phoneticPr fontId="2" type="noConversion"/>
  </si>
  <si>
    <t>◎비품재산조성충당금</t>
    <phoneticPr fontId="2" type="noConversion"/>
  </si>
  <si>
    <t>차량재산조성충당금</t>
    <phoneticPr fontId="2" type="noConversion"/>
  </si>
  <si>
    <t>◎차량재산조성충당금</t>
    <phoneticPr fontId="2" type="noConversion"/>
  </si>
  <si>
    <t>사업운영
충당금</t>
    <phoneticPr fontId="2" type="noConversion"/>
  </si>
  <si>
    <t>사업운영충당금</t>
    <phoneticPr fontId="2" type="noConversion"/>
  </si>
  <si>
    <t>◎사업운영충당금</t>
    <phoneticPr fontId="2" type="noConversion"/>
  </si>
  <si>
    <t>◎전년도이월금</t>
    <phoneticPr fontId="2" type="noConversion"/>
  </si>
  <si>
    <t>시설전출금</t>
    <phoneticPr fontId="2" type="noConversion"/>
  </si>
  <si>
    <t>차기년도이월금</t>
    <phoneticPr fontId="2" type="noConversion"/>
  </si>
  <si>
    <t>익년도이월금</t>
    <phoneticPr fontId="2" type="noConversion"/>
  </si>
</sst>
</file>

<file path=xl/styles.xml><?xml version="1.0" encoding="utf-8"?>
<styleSheet xmlns="http://schemas.openxmlformats.org/spreadsheetml/2006/main">
  <numFmts count="13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.0_ "/>
    <numFmt numFmtId="178" formatCode="###,###,"/>
    <numFmt numFmtId="179" formatCode="0.0_ "/>
    <numFmt numFmtId="180" formatCode="###,###,###,###&quot;원&quot;"/>
    <numFmt numFmtId="181" formatCode="#,##0.000_ "/>
    <numFmt numFmtId="182" formatCode="###,###&quot;원&quot;"/>
    <numFmt numFmtId="183" formatCode="0_);[Red]\(0\)"/>
    <numFmt numFmtId="184" formatCode="_-* #,##0.0_-;\-* #,##0.0_-;_-* &quot;-&quot;?_-;_-@_-"/>
    <numFmt numFmtId="185" formatCode="#,##0_);[Red]\(#,##0\)"/>
  </numFmts>
  <fonts count="2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b/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8"/>
      <name val="돋움"/>
      <family val="3"/>
      <charset val="129"/>
    </font>
    <font>
      <b/>
      <sz val="15"/>
      <name val="돋움"/>
      <family val="3"/>
      <charset val="129"/>
    </font>
    <font>
      <sz val="15"/>
      <name val="돋움"/>
      <family val="3"/>
      <charset val="129"/>
    </font>
    <font>
      <b/>
      <sz val="16"/>
      <name val="맑은 고딕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sz val="8"/>
      <name val="굴림체"/>
      <family val="3"/>
      <charset val="129"/>
    </font>
    <font>
      <b/>
      <sz val="9"/>
      <name val="굴림"/>
      <family val="3"/>
      <charset val="129"/>
    </font>
    <font>
      <b/>
      <sz val="10"/>
      <name val="돋움"/>
      <family val="3"/>
      <charset val="129"/>
    </font>
    <font>
      <sz val="11"/>
      <color theme="3" tint="-0.249977111117893"/>
      <name val="돋움"/>
      <family val="3"/>
      <charset val="129"/>
    </font>
    <font>
      <sz val="11"/>
      <color theme="1"/>
      <name val="돋움"/>
      <family val="3"/>
      <charset val="129"/>
    </font>
    <font>
      <sz val="8"/>
      <name val="굴림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돋움"/>
      <family val="3"/>
      <charset val="129"/>
    </font>
    <font>
      <sz val="10"/>
      <color theme="1"/>
      <name val="돋움"/>
      <family val="3"/>
      <charset val="129"/>
    </font>
    <font>
      <u/>
      <sz val="11"/>
      <color theme="10"/>
      <name val="돋움"/>
      <family val="3"/>
      <charset val="129"/>
    </font>
    <font>
      <sz val="7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</cellStyleXfs>
  <cellXfs count="576">
    <xf numFmtId="0" fontId="0" fillId="0" borderId="0" xfId="0">
      <alignment vertical="center"/>
    </xf>
    <xf numFmtId="0" fontId="0" fillId="0" borderId="9" xfId="0" applyFill="1" applyBorder="1">
      <alignment vertical="center"/>
    </xf>
    <xf numFmtId="0" fontId="3" fillId="0" borderId="0" xfId="0" applyFont="1" applyFill="1" applyBorder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0" fontId="0" fillId="0" borderId="24" xfId="0" applyFont="1" applyFill="1" applyBorder="1">
      <alignment vertical="center"/>
    </xf>
    <xf numFmtId="41" fontId="0" fillId="0" borderId="9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1" fontId="0" fillId="0" borderId="9" xfId="0" applyNumberFormat="1" applyFont="1" applyFill="1" applyBorder="1">
      <alignment vertical="center"/>
    </xf>
    <xf numFmtId="178" fontId="0" fillId="0" borderId="0" xfId="0" applyNumberFormat="1" applyFont="1" applyFill="1">
      <alignment vertical="center"/>
    </xf>
    <xf numFmtId="0" fontId="0" fillId="0" borderId="6" xfId="0" applyFont="1" applyFill="1" applyBorder="1">
      <alignment vertical="center"/>
    </xf>
    <xf numFmtId="180" fontId="0" fillId="0" borderId="18" xfId="0" applyNumberFormat="1" applyFont="1" applyFill="1" applyBorder="1" applyAlignment="1">
      <alignment horizontal="right" vertical="center"/>
    </xf>
    <xf numFmtId="0" fontId="0" fillId="0" borderId="9" xfId="0" applyFont="1" applyFill="1" applyBorder="1">
      <alignment vertical="center"/>
    </xf>
    <xf numFmtId="180" fontId="0" fillId="0" borderId="10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0" fillId="0" borderId="16" xfId="0" applyFont="1" applyFill="1" applyBorder="1">
      <alignment vertical="center"/>
    </xf>
    <xf numFmtId="0" fontId="0" fillId="0" borderId="17" xfId="0" applyFont="1" applyFill="1" applyBorder="1">
      <alignment vertical="center"/>
    </xf>
    <xf numFmtId="180" fontId="0" fillId="0" borderId="4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178" fontId="0" fillId="0" borderId="24" xfId="0" applyNumberFormat="1" applyFont="1" applyFill="1" applyBorder="1">
      <alignment vertical="center"/>
    </xf>
    <xf numFmtId="179" fontId="0" fillId="0" borderId="0" xfId="0" applyNumberFormat="1" applyFont="1" applyFill="1">
      <alignment vertical="center"/>
    </xf>
    <xf numFmtId="179" fontId="0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Alignment="1">
      <alignment horizontal="right" vertical="center"/>
    </xf>
    <xf numFmtId="0" fontId="0" fillId="0" borderId="24" xfId="0" applyFont="1" applyFill="1" applyBorder="1" applyAlignment="1">
      <alignment horizontal="right" vertical="center"/>
    </xf>
    <xf numFmtId="178" fontId="0" fillId="0" borderId="24" xfId="7" applyNumberFormat="1" applyFont="1" applyFill="1" applyBorder="1">
      <alignment vertical="center"/>
    </xf>
    <xf numFmtId="178" fontId="0" fillId="2" borderId="1" xfId="7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78" fontId="0" fillId="0" borderId="0" xfId="7" applyNumberFormat="1" applyFont="1" applyFill="1">
      <alignment vertical="center"/>
    </xf>
    <xf numFmtId="0" fontId="0" fillId="0" borderId="0" xfId="0" applyFont="1" applyFill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center" vertical="center"/>
    </xf>
    <xf numFmtId="176" fontId="0" fillId="0" borderId="9" xfId="0" applyNumberFormat="1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176" fontId="0" fillId="0" borderId="9" xfId="0" applyNumberForma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4" xfId="0" applyNumberFormat="1" applyFont="1" applyFill="1" applyBorder="1">
      <alignment vertical="center"/>
    </xf>
    <xf numFmtId="176" fontId="0" fillId="0" borderId="14" xfId="0" applyNumberFormat="1" applyFont="1" applyFill="1" applyBorder="1" applyAlignment="1">
      <alignment vertical="center"/>
    </xf>
    <xf numFmtId="176" fontId="0" fillId="0" borderId="14" xfId="0" applyNumberFormat="1" applyFont="1" applyFill="1" applyBorder="1" applyAlignment="1">
      <alignment horizontal="center" vertical="center"/>
    </xf>
    <xf numFmtId="176" fontId="0" fillId="0" borderId="14" xfId="0" applyNumberFormat="1" applyFont="1" applyFill="1" applyBorder="1" applyAlignment="1">
      <alignment horizontal="right" vertical="center"/>
    </xf>
    <xf numFmtId="180" fontId="0" fillId="0" borderId="15" xfId="0" applyNumberFormat="1" applyFont="1" applyFill="1" applyBorder="1" applyAlignment="1">
      <alignment horizontal="right" vertical="center"/>
    </xf>
    <xf numFmtId="176" fontId="0" fillId="0" borderId="9" xfId="0" applyNumberFormat="1" applyFill="1" applyBorder="1" applyAlignment="1">
      <alignment horizontal="center" vertical="center"/>
    </xf>
    <xf numFmtId="177" fontId="0" fillId="0" borderId="9" xfId="0" applyNumberFormat="1" applyFont="1" applyFill="1" applyBorder="1" applyAlignment="1">
      <alignment horizontal="right" vertical="center"/>
    </xf>
    <xf numFmtId="182" fontId="0" fillId="0" borderId="10" xfId="1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0" fontId="0" fillId="0" borderId="24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179" fontId="4" fillId="0" borderId="0" xfId="0" applyNumberFormat="1" applyFont="1" applyFill="1" applyBorder="1">
      <alignment vertical="center"/>
    </xf>
    <xf numFmtId="0" fontId="4" fillId="0" borderId="24" xfId="0" applyFont="1" applyFill="1" applyBorder="1">
      <alignment vertical="center"/>
    </xf>
    <xf numFmtId="0" fontId="4" fillId="0" borderId="24" xfId="0" applyFont="1" applyFill="1" applyBorder="1" applyAlignment="1">
      <alignment horizontal="right" vertical="center"/>
    </xf>
    <xf numFmtId="41" fontId="4" fillId="0" borderId="0" xfId="1" applyFont="1" applyFill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176" fontId="0" fillId="0" borderId="9" xfId="0" applyNumberFormat="1" applyFill="1" applyBorder="1" applyAlignment="1">
      <alignment horizontal="right" vertical="center"/>
    </xf>
    <xf numFmtId="0" fontId="0" fillId="0" borderId="14" xfId="0" applyFill="1" applyBorder="1" applyAlignment="1">
      <alignment horizontal="center" vertical="center"/>
    </xf>
    <xf numFmtId="0" fontId="0" fillId="0" borderId="14" xfId="0" applyFill="1" applyBorder="1">
      <alignment vertical="center"/>
    </xf>
    <xf numFmtId="0" fontId="0" fillId="0" borderId="9" xfId="0" applyFill="1" applyBorder="1" applyAlignment="1">
      <alignment vertical="center"/>
    </xf>
    <xf numFmtId="0" fontId="6" fillId="0" borderId="9" xfId="0" applyFont="1" applyFill="1" applyBorder="1">
      <alignment vertical="center"/>
    </xf>
    <xf numFmtId="0" fontId="0" fillId="0" borderId="42" xfId="0" applyFont="1" applyFill="1" applyBorder="1">
      <alignment vertical="center"/>
    </xf>
    <xf numFmtId="0" fontId="0" fillId="0" borderId="43" xfId="0" applyFont="1" applyFill="1" applyBorder="1">
      <alignment vertical="center"/>
    </xf>
    <xf numFmtId="180" fontId="0" fillId="0" borderId="44" xfId="0" applyNumberFormat="1" applyFont="1" applyFill="1" applyBorder="1" applyAlignment="1">
      <alignment horizontal="right" vertical="center"/>
    </xf>
    <xf numFmtId="0" fontId="0" fillId="0" borderId="45" xfId="0" applyFill="1" applyBorder="1" applyAlignment="1">
      <alignment horizontal="center" vertical="center"/>
    </xf>
    <xf numFmtId="180" fontId="0" fillId="0" borderId="10" xfId="0" applyNumberFormat="1" applyFill="1" applyBorder="1" applyAlignment="1">
      <alignment horizontal="right" vertical="center"/>
    </xf>
    <xf numFmtId="183" fontId="0" fillId="0" borderId="0" xfId="0" applyNumberFormat="1" applyFont="1" applyFill="1" applyBorder="1" applyAlignment="1">
      <alignment vertical="center"/>
    </xf>
    <xf numFmtId="0" fontId="0" fillId="0" borderId="9" xfId="0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3" fontId="12" fillId="0" borderId="0" xfId="0" applyNumberFormat="1" applyFont="1" applyAlignment="1">
      <alignment horizontal="right" vertical="center"/>
    </xf>
    <xf numFmtId="3" fontId="12" fillId="0" borderId="0" xfId="0" applyNumberFormat="1" applyFont="1">
      <alignment vertical="center"/>
    </xf>
    <xf numFmtId="0" fontId="12" fillId="0" borderId="0" xfId="0" applyFont="1" applyBorder="1">
      <alignment vertical="center"/>
    </xf>
    <xf numFmtId="178" fontId="0" fillId="0" borderId="0" xfId="0" applyNumberForma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3" fontId="12" fillId="0" borderId="56" xfId="0" applyNumberFormat="1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3" fontId="12" fillId="0" borderId="23" xfId="0" applyNumberFormat="1" applyFont="1" applyFill="1" applyBorder="1">
      <alignment vertical="center"/>
    </xf>
    <xf numFmtId="0" fontId="12" fillId="0" borderId="23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41" fontId="0" fillId="0" borderId="5" xfId="2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80" fontId="0" fillId="0" borderId="59" xfId="0" applyNumberFormat="1" applyFont="1" applyFill="1" applyBorder="1">
      <alignment vertical="center"/>
    </xf>
    <xf numFmtId="180" fontId="0" fillId="0" borderId="60" xfId="0" applyNumberFormat="1" applyFont="1" applyFill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0" fillId="0" borderId="9" xfId="0" applyFill="1" applyBorder="1" applyAlignment="1">
      <alignment vertical="center" shrinkToFit="1"/>
    </xf>
    <xf numFmtId="0" fontId="0" fillId="0" borderId="9" xfId="0" applyFont="1" applyFill="1" applyBorder="1" applyAlignment="1">
      <alignment horizontal="center" vertical="center"/>
    </xf>
    <xf numFmtId="41" fontId="0" fillId="0" borderId="9" xfId="0" applyNumberFormat="1" applyFont="1" applyFill="1" applyBorder="1" applyAlignment="1">
      <alignment horizontal="center" vertical="center"/>
    </xf>
    <xf numFmtId="41" fontId="0" fillId="0" borderId="9" xfId="0" applyNumberFormat="1" applyFont="1" applyFill="1" applyBorder="1" applyAlignment="1">
      <alignment vertical="center"/>
    </xf>
    <xf numFmtId="41" fontId="0" fillId="0" borderId="12" xfId="0" applyNumberFormat="1" applyFont="1" applyFill="1" applyBorder="1" applyAlignment="1">
      <alignment vertical="center"/>
    </xf>
    <xf numFmtId="41" fontId="0" fillId="0" borderId="7" xfId="0" applyNumberFormat="1" applyFont="1" applyFill="1" applyBorder="1" applyAlignment="1">
      <alignment vertical="center"/>
    </xf>
    <xf numFmtId="41" fontId="0" fillId="0" borderId="8" xfId="0" applyNumberFormat="1" applyFont="1" applyFill="1" applyBorder="1" applyAlignment="1">
      <alignment vertical="center"/>
    </xf>
    <xf numFmtId="41" fontId="0" fillId="0" borderId="8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9" xfId="7" applyNumberFormat="1" applyFont="1" applyFill="1" applyBorder="1">
      <alignment vertical="center"/>
    </xf>
    <xf numFmtId="41" fontId="0" fillId="0" borderId="10" xfId="0" applyNumberFormat="1" applyFont="1" applyFill="1" applyBorder="1">
      <alignment vertical="center"/>
    </xf>
    <xf numFmtId="41" fontId="0" fillId="0" borderId="13" xfId="0" applyNumberFormat="1" applyFont="1" applyFill="1" applyBorder="1" applyAlignment="1">
      <alignment horizontal="center" vertical="center"/>
    </xf>
    <xf numFmtId="41" fontId="0" fillId="0" borderId="14" xfId="0" applyNumberFormat="1" applyFont="1" applyFill="1" applyBorder="1" applyAlignment="1">
      <alignment horizontal="center" vertical="center"/>
    </xf>
    <xf numFmtId="41" fontId="0" fillId="0" borderId="14" xfId="0" applyNumberFormat="1" applyFont="1" applyFill="1" applyBorder="1" applyAlignment="1">
      <alignment horizontal="right" vertical="center"/>
    </xf>
    <xf numFmtId="41" fontId="0" fillId="0" borderId="14" xfId="7" applyNumberFormat="1" applyFont="1" applyFill="1" applyBorder="1">
      <alignment vertical="center"/>
    </xf>
    <xf numFmtId="41" fontId="0" fillId="0" borderId="15" xfId="0" applyNumberFormat="1" applyFont="1" applyFill="1" applyBorder="1">
      <alignment vertical="center"/>
    </xf>
    <xf numFmtId="41" fontId="0" fillId="0" borderId="24" xfId="0" applyNumberFormat="1" applyFont="1" applyFill="1" applyBorder="1">
      <alignment vertical="center"/>
    </xf>
    <xf numFmtId="41" fontId="0" fillId="2" borderId="1" xfId="0" applyNumberFormat="1" applyFont="1" applyFill="1" applyBorder="1" applyAlignment="1">
      <alignment horizontal="center" vertical="center"/>
    </xf>
    <xf numFmtId="41" fontId="0" fillId="2" borderId="2" xfId="0" applyNumberFormat="1" applyFont="1" applyFill="1" applyBorder="1" applyAlignment="1">
      <alignment horizontal="center" vertical="center"/>
    </xf>
    <xf numFmtId="41" fontId="0" fillId="0" borderId="0" xfId="0" applyNumberFormat="1" applyFont="1" applyFill="1">
      <alignment vertical="center"/>
    </xf>
    <xf numFmtId="41" fontId="0" fillId="0" borderId="0" xfId="0" applyNumberFormat="1" applyFont="1" applyFill="1" applyAlignment="1">
      <alignment horizontal="right" vertical="center"/>
    </xf>
    <xf numFmtId="41" fontId="6" fillId="0" borderId="9" xfId="0" applyNumberFormat="1" applyFont="1" applyFill="1" applyBorder="1" applyAlignment="1">
      <alignment vertical="center"/>
    </xf>
    <xf numFmtId="41" fontId="6" fillId="0" borderId="9" xfId="0" applyNumberFormat="1" applyFont="1" applyFill="1" applyBorder="1" applyAlignment="1">
      <alignment horizontal="right" vertical="center"/>
    </xf>
    <xf numFmtId="41" fontId="6" fillId="0" borderId="9" xfId="0" applyNumberFormat="1" applyFont="1" applyFill="1" applyBorder="1" applyAlignment="1">
      <alignment horizontal="center" vertical="center"/>
    </xf>
    <xf numFmtId="41" fontId="15" fillId="0" borderId="3" xfId="0" applyNumberFormat="1" applyFont="1" applyFill="1" applyBorder="1" applyAlignment="1">
      <alignment horizontal="right" vertical="center"/>
    </xf>
    <xf numFmtId="179" fontId="6" fillId="0" borderId="4" xfId="0" applyNumberFormat="1" applyFont="1" applyFill="1" applyBorder="1" applyAlignment="1" applyProtection="1">
      <alignment horizontal="right" vertical="center"/>
    </xf>
    <xf numFmtId="41" fontId="6" fillId="0" borderId="8" xfId="0" applyNumberFormat="1" applyFont="1" applyFill="1" applyBorder="1" applyAlignment="1">
      <alignment horizontal="right" vertical="center"/>
    </xf>
    <xf numFmtId="41" fontId="6" fillId="0" borderId="8" xfId="7" applyNumberFormat="1" applyFont="1" applyFill="1" applyBorder="1" applyAlignment="1" applyProtection="1">
      <alignment horizontal="right" vertical="center"/>
    </xf>
    <xf numFmtId="41" fontId="6" fillId="0" borderId="23" xfId="0" applyNumberFormat="1" applyFont="1" applyFill="1" applyBorder="1" applyAlignment="1" applyProtection="1">
      <alignment horizontal="right" vertical="center"/>
    </xf>
    <xf numFmtId="41" fontId="6" fillId="0" borderId="9" xfId="7" applyNumberFormat="1" applyFont="1" applyFill="1" applyBorder="1" applyAlignment="1" applyProtection="1">
      <alignment horizontal="right" vertical="center"/>
    </xf>
    <xf numFmtId="41" fontId="6" fillId="0" borderId="10" xfId="0" applyNumberFormat="1" applyFont="1" applyFill="1" applyBorder="1" applyAlignment="1" applyProtection="1">
      <alignment horizontal="right" vertical="center"/>
    </xf>
    <xf numFmtId="41" fontId="6" fillId="0" borderId="10" xfId="0" applyNumberFormat="1" applyFont="1" applyFill="1" applyBorder="1" applyAlignment="1">
      <alignment horizontal="right" vertical="center"/>
    </xf>
    <xf numFmtId="41" fontId="6" fillId="0" borderId="9" xfId="0" applyNumberFormat="1" applyFont="1" applyFill="1" applyBorder="1">
      <alignment vertical="center"/>
    </xf>
    <xf numFmtId="41" fontId="6" fillId="0" borderId="9" xfId="7" applyNumberFormat="1" applyFont="1" applyFill="1" applyBorder="1">
      <alignment vertical="center"/>
    </xf>
    <xf numFmtId="41" fontId="6" fillId="0" borderId="10" xfId="0" applyNumberFormat="1" applyFont="1" applyFill="1" applyBorder="1">
      <alignment vertical="center"/>
    </xf>
    <xf numFmtId="41" fontId="6" fillId="0" borderId="4" xfId="0" applyNumberFormat="1" applyFont="1" applyFill="1" applyBorder="1" applyAlignment="1" applyProtection="1">
      <alignment horizontal="right" vertical="center"/>
    </xf>
    <xf numFmtId="41" fontId="6" fillId="0" borderId="23" xfId="0" applyNumberFormat="1" applyFont="1" applyFill="1" applyBorder="1" applyAlignment="1">
      <alignment horizontal="right" vertical="center"/>
    </xf>
    <xf numFmtId="41" fontId="6" fillId="0" borderId="14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78" fontId="6" fillId="0" borderId="9" xfId="0" applyNumberFormat="1" applyFont="1" applyFill="1" applyBorder="1">
      <alignment vertical="center"/>
    </xf>
    <xf numFmtId="0" fontId="6" fillId="0" borderId="9" xfId="0" applyFont="1" applyFill="1" applyBorder="1" applyAlignment="1">
      <alignment horizontal="right" vertical="center"/>
    </xf>
    <xf numFmtId="178" fontId="6" fillId="0" borderId="9" xfId="7" applyNumberFormat="1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178" fontId="6" fillId="0" borderId="21" xfId="0" applyNumberFormat="1" applyFont="1" applyFill="1" applyBorder="1">
      <alignment vertical="center"/>
    </xf>
    <xf numFmtId="0" fontId="6" fillId="0" borderId="21" xfId="0" applyFont="1" applyFill="1" applyBorder="1" applyAlignment="1">
      <alignment horizontal="right" vertical="center"/>
    </xf>
    <xf numFmtId="178" fontId="6" fillId="0" borderId="21" xfId="7" applyNumberFormat="1" applyFont="1" applyFill="1" applyBorder="1">
      <alignment vertical="center"/>
    </xf>
    <xf numFmtId="0" fontId="6" fillId="0" borderId="22" xfId="0" applyFont="1" applyFill="1" applyBorder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78" fontId="6" fillId="0" borderId="14" xfId="0" applyNumberFormat="1" applyFont="1" applyFill="1" applyBorder="1">
      <alignment vertical="center"/>
    </xf>
    <xf numFmtId="0" fontId="6" fillId="0" borderId="14" xfId="0" applyFont="1" applyFill="1" applyBorder="1" applyAlignment="1">
      <alignment horizontal="right" vertical="center"/>
    </xf>
    <xf numFmtId="178" fontId="6" fillId="0" borderId="14" xfId="7" applyNumberFormat="1" applyFont="1" applyFill="1" applyBorder="1">
      <alignment vertical="center"/>
    </xf>
    <xf numFmtId="0" fontId="6" fillId="0" borderId="15" xfId="0" applyFont="1" applyFill="1" applyBorder="1">
      <alignment vertical="center"/>
    </xf>
    <xf numFmtId="41" fontId="6" fillId="0" borderId="14" xfId="0" applyNumberFormat="1" applyFont="1" applyFill="1" applyBorder="1">
      <alignment vertical="center"/>
    </xf>
    <xf numFmtId="41" fontId="0" fillId="0" borderId="0" xfId="0" applyNumberFormat="1" applyFont="1" applyFill="1" applyBorder="1">
      <alignment vertical="center"/>
    </xf>
    <xf numFmtId="41" fontId="6" fillId="0" borderId="12" xfId="0" applyNumberFormat="1" applyFont="1" applyFill="1" applyBorder="1" applyAlignment="1">
      <alignment horizontal="center" vertical="center"/>
    </xf>
    <xf numFmtId="41" fontId="6" fillId="0" borderId="21" xfId="0" applyNumberFormat="1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>
      <alignment horizontal="center" vertical="center"/>
    </xf>
    <xf numFmtId="41" fontId="6" fillId="0" borderId="14" xfId="0" applyNumberFormat="1" applyFont="1" applyFill="1" applyBorder="1" applyAlignment="1">
      <alignment horizontal="center" vertical="center"/>
    </xf>
    <xf numFmtId="41" fontId="12" fillId="0" borderId="8" xfId="1" applyNumberFormat="1" applyFont="1" applyBorder="1" applyAlignment="1">
      <alignment horizontal="right" vertical="center"/>
    </xf>
    <xf numFmtId="41" fontId="12" fillId="0" borderId="53" xfId="1" applyNumberFormat="1" applyFont="1" applyBorder="1" applyAlignment="1">
      <alignment horizontal="right" vertical="center"/>
    </xf>
    <xf numFmtId="41" fontId="12" fillId="0" borderId="14" xfId="1" applyNumberFormat="1" applyFont="1" applyBorder="1" applyAlignment="1">
      <alignment horizontal="right" vertical="center"/>
    </xf>
    <xf numFmtId="41" fontId="12" fillId="0" borderId="0" xfId="0" applyNumberFormat="1" applyFont="1" applyBorder="1" applyAlignment="1">
      <alignment horizontal="right" vertical="center"/>
    </xf>
    <xf numFmtId="41" fontId="12" fillId="0" borderId="0" xfId="0" applyNumberFormat="1" applyFont="1" applyBorder="1">
      <alignment vertical="center"/>
    </xf>
    <xf numFmtId="41" fontId="12" fillId="0" borderId="0" xfId="0" applyNumberFormat="1" applyFont="1" applyAlignment="1">
      <alignment horizontal="right" vertical="center"/>
    </xf>
    <xf numFmtId="41" fontId="12" fillId="0" borderId="0" xfId="0" applyNumberFormat="1" applyFont="1">
      <alignment vertical="center"/>
    </xf>
    <xf numFmtId="41" fontId="12" fillId="0" borderId="56" xfId="0" applyNumberFormat="1" applyFont="1" applyBorder="1" applyAlignment="1">
      <alignment horizontal="center" vertical="center"/>
    </xf>
    <xf numFmtId="41" fontId="12" fillId="0" borderId="9" xfId="0" applyNumberFormat="1" applyFont="1" applyBorder="1" applyAlignment="1">
      <alignment horizontal="right" vertical="center"/>
    </xf>
    <xf numFmtId="41" fontId="12" fillId="0" borderId="9" xfId="1" applyNumberFormat="1" applyFont="1" applyBorder="1" applyAlignment="1">
      <alignment horizontal="right" vertical="center"/>
    </xf>
    <xf numFmtId="41" fontId="12" fillId="0" borderId="21" xfId="0" applyNumberFormat="1" applyFont="1" applyBorder="1" applyAlignment="1">
      <alignment horizontal="right" vertical="center"/>
    </xf>
    <xf numFmtId="41" fontId="12" fillId="0" borderId="14" xfId="0" applyNumberFormat="1" applyFont="1" applyBorder="1" applyAlignment="1">
      <alignment horizontal="right" vertical="center"/>
    </xf>
    <xf numFmtId="41" fontId="12" fillId="0" borderId="21" xfId="1" applyNumberFormat="1" applyFont="1" applyBorder="1" applyAlignment="1">
      <alignment horizontal="right" vertical="center"/>
    </xf>
    <xf numFmtId="0" fontId="12" fillId="0" borderId="22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8" fontId="6" fillId="0" borderId="6" xfId="0" applyNumberFormat="1" applyFont="1" applyFill="1" applyBorder="1">
      <alignment vertical="center"/>
    </xf>
    <xf numFmtId="0" fontId="6" fillId="0" borderId="6" xfId="0" applyFont="1" applyFill="1" applyBorder="1" applyAlignment="1">
      <alignment horizontal="right" vertical="center"/>
    </xf>
    <xf numFmtId="178" fontId="6" fillId="0" borderId="6" xfId="7" applyNumberFormat="1" applyFont="1" applyFill="1" applyBorder="1">
      <alignment vertical="center"/>
    </xf>
    <xf numFmtId="0" fontId="6" fillId="0" borderId="18" xfId="0" applyFont="1" applyFill="1" applyBorder="1">
      <alignment vertical="center"/>
    </xf>
    <xf numFmtId="41" fontId="6" fillId="0" borderId="6" xfId="0" applyNumberFormat="1" applyFont="1" applyFill="1" applyBorder="1" applyAlignment="1">
      <alignment horizontal="right" vertical="center"/>
    </xf>
    <xf numFmtId="41" fontId="6" fillId="0" borderId="18" xfId="0" applyNumberFormat="1" applyFont="1" applyFill="1" applyBorder="1" applyAlignment="1">
      <alignment horizontal="right" vertical="center"/>
    </xf>
    <xf numFmtId="41" fontId="6" fillId="0" borderId="15" xfId="0" applyNumberFormat="1" applyFont="1" applyFill="1" applyBorder="1" applyAlignment="1">
      <alignment horizontal="right" vertical="center"/>
    </xf>
    <xf numFmtId="41" fontId="4" fillId="0" borderId="1" xfId="0" applyNumberFormat="1" applyFont="1" applyFill="1" applyBorder="1">
      <alignment vertical="center"/>
    </xf>
    <xf numFmtId="41" fontId="0" fillId="0" borderId="6" xfId="0" applyNumberFormat="1" applyFont="1" applyFill="1" applyBorder="1" applyAlignment="1">
      <alignment horizontal="right" vertical="center"/>
    </xf>
    <xf numFmtId="41" fontId="0" fillId="0" borderId="6" xfId="0" applyNumberFormat="1" applyFont="1" applyFill="1" applyBorder="1">
      <alignment vertical="center"/>
    </xf>
    <xf numFmtId="184" fontId="4" fillId="0" borderId="1" xfId="0" applyNumberFormat="1" applyFont="1" applyFill="1" applyBorder="1">
      <alignment vertical="center"/>
    </xf>
    <xf numFmtId="184" fontId="0" fillId="0" borderId="6" xfId="0" applyNumberFormat="1" applyFont="1" applyFill="1" applyBorder="1">
      <alignment vertical="center"/>
    </xf>
    <xf numFmtId="184" fontId="0" fillId="0" borderId="9" xfId="0" applyNumberFormat="1" applyFont="1" applyFill="1" applyBorder="1">
      <alignment vertical="center"/>
    </xf>
    <xf numFmtId="184" fontId="0" fillId="0" borderId="14" xfId="0" applyNumberFormat="1" applyFont="1" applyFill="1" applyBorder="1">
      <alignment vertical="center"/>
    </xf>
    <xf numFmtId="41" fontId="4" fillId="0" borderId="36" xfId="0" applyNumberFormat="1" applyFont="1" applyFill="1" applyBorder="1">
      <alignment vertical="center"/>
    </xf>
    <xf numFmtId="41" fontId="0" fillId="0" borderId="8" xfId="0" applyNumberFormat="1" applyFont="1" applyFill="1" applyBorder="1">
      <alignment vertical="center"/>
    </xf>
    <xf numFmtId="184" fontId="4" fillId="0" borderId="36" xfId="0" applyNumberFormat="1" applyFont="1" applyFill="1" applyBorder="1">
      <alignment vertical="center"/>
    </xf>
    <xf numFmtId="0" fontId="12" fillId="0" borderId="15" xfId="0" applyFont="1" applyBorder="1">
      <alignment vertical="center"/>
    </xf>
    <xf numFmtId="0" fontId="12" fillId="0" borderId="2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41" fontId="0" fillId="0" borderId="0" xfId="1" applyFont="1" applyFill="1" applyAlignment="1">
      <alignment horizontal="center" vertical="center"/>
    </xf>
    <xf numFmtId="0" fontId="16" fillId="0" borderId="0" xfId="0" applyFont="1" applyFill="1">
      <alignment vertical="center"/>
    </xf>
    <xf numFmtId="41" fontId="16" fillId="0" borderId="0" xfId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41" fontId="0" fillId="0" borderId="9" xfId="1" applyFont="1" applyFill="1" applyBorder="1">
      <alignment vertical="center"/>
    </xf>
    <xf numFmtId="180" fontId="0" fillId="0" borderId="10" xfId="0" quotePrefix="1" applyNumberFormat="1" applyFont="1" applyFill="1" applyBorder="1" applyAlignment="1">
      <alignment horizontal="right" vertical="center"/>
    </xf>
    <xf numFmtId="0" fontId="0" fillId="0" borderId="9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left" vertical="center"/>
    </xf>
    <xf numFmtId="41" fontId="4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center" vertical="center"/>
    </xf>
    <xf numFmtId="3" fontId="17" fillId="0" borderId="9" xfId="0" applyNumberFormat="1" applyFont="1" applyFill="1" applyBorder="1">
      <alignment vertical="center"/>
    </xf>
    <xf numFmtId="176" fontId="17" fillId="0" borderId="9" xfId="0" applyNumberFormat="1" applyFont="1" applyFill="1" applyBorder="1" applyAlignment="1">
      <alignment horizontal="center" vertical="center"/>
    </xf>
    <xf numFmtId="0" fontId="17" fillId="0" borderId="9" xfId="0" applyFont="1" applyFill="1" applyBorder="1">
      <alignment vertical="center"/>
    </xf>
    <xf numFmtId="185" fontId="17" fillId="0" borderId="9" xfId="0" applyNumberFormat="1" applyFont="1" applyFill="1" applyBorder="1">
      <alignment vertical="center"/>
    </xf>
    <xf numFmtId="185" fontId="16" fillId="0" borderId="0" xfId="0" applyNumberFormat="1" applyFont="1" applyFill="1">
      <alignment vertical="center"/>
    </xf>
    <xf numFmtId="41" fontId="6" fillId="0" borderId="9" xfId="0" applyNumberFormat="1" applyFont="1" applyFill="1" applyBorder="1" applyAlignment="1">
      <alignment horizontal="center" vertical="center"/>
    </xf>
    <xf numFmtId="41" fontId="6" fillId="0" borderId="25" xfId="0" applyNumberFormat="1" applyFont="1" applyFill="1" applyBorder="1" applyAlignment="1">
      <alignment horizontal="center" vertical="top"/>
    </xf>
    <xf numFmtId="0" fontId="0" fillId="0" borderId="0" xfId="0" applyFont="1" applyFill="1" applyAlignment="1">
      <alignment horizontal="center" vertical="center"/>
    </xf>
    <xf numFmtId="176" fontId="0" fillId="3" borderId="9" xfId="0" applyNumberFormat="1" applyFont="1" applyFill="1" applyBorder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0" fontId="0" fillId="0" borderId="21" xfId="0" applyFill="1" applyBorder="1" applyAlignment="1">
      <alignment vertical="center"/>
    </xf>
    <xf numFmtId="176" fontId="0" fillId="0" borderId="14" xfId="0" applyNumberFormat="1" applyFill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62" xfId="0" applyFont="1" applyBorder="1" applyAlignment="1">
      <alignment horizontal="left" vertical="center" wrapText="1"/>
    </xf>
    <xf numFmtId="41" fontId="12" fillId="0" borderId="61" xfId="0" applyNumberFormat="1" applyFont="1" applyBorder="1">
      <alignment vertical="center"/>
    </xf>
    <xf numFmtId="0" fontId="18" fillId="0" borderId="2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41" fontId="0" fillId="0" borderId="21" xfId="0" applyNumberFormat="1" applyFont="1" applyFill="1" applyBorder="1" applyAlignment="1">
      <alignment horizontal="right" vertical="center"/>
    </xf>
    <xf numFmtId="41" fontId="0" fillId="0" borderId="21" xfId="0" applyNumberFormat="1" applyFont="1" applyFill="1" applyBorder="1">
      <alignment vertical="center"/>
    </xf>
    <xf numFmtId="184" fontId="0" fillId="0" borderId="21" xfId="0" applyNumberFormat="1" applyFont="1" applyFill="1" applyBorder="1">
      <alignment vertical="center"/>
    </xf>
    <xf numFmtId="0" fontId="0" fillId="0" borderId="21" xfId="0" applyFill="1" applyBorder="1">
      <alignment vertical="center"/>
    </xf>
    <xf numFmtId="176" fontId="0" fillId="0" borderId="21" xfId="0" applyNumberFormat="1" applyFont="1" applyFill="1" applyBorder="1" applyAlignment="1">
      <alignment vertical="center"/>
    </xf>
    <xf numFmtId="176" fontId="0" fillId="0" borderId="21" xfId="0" applyNumberFormat="1" applyFont="1" applyFill="1" applyBorder="1" applyAlignment="1">
      <alignment horizontal="center" vertical="center"/>
    </xf>
    <xf numFmtId="176" fontId="0" fillId="0" borderId="21" xfId="0" applyNumberFormat="1" applyFill="1" applyBorder="1" applyAlignment="1">
      <alignment horizontal="center" vertical="center"/>
    </xf>
    <xf numFmtId="176" fontId="0" fillId="0" borderId="21" xfId="0" applyNumberFormat="1" applyFont="1" applyFill="1" applyBorder="1" applyAlignment="1">
      <alignment horizontal="right" vertical="center"/>
    </xf>
    <xf numFmtId="180" fontId="0" fillId="0" borderId="22" xfId="0" applyNumberFormat="1" applyFont="1" applyFill="1" applyBorder="1" applyAlignment="1">
      <alignment horizontal="right" vertical="center"/>
    </xf>
    <xf numFmtId="41" fontId="12" fillId="0" borderId="14" xfId="0" applyNumberFormat="1" applyFont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1" fontId="6" fillId="0" borderId="9" xfId="0" applyNumberFormat="1" applyFont="1" applyFill="1" applyBorder="1" applyAlignment="1">
      <alignment horizontal="center" vertical="center"/>
    </xf>
    <xf numFmtId="41" fontId="6" fillId="0" borderId="12" xfId="0" applyNumberFormat="1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>
      <alignment horizontal="center" vertical="center"/>
    </xf>
    <xf numFmtId="41" fontId="6" fillId="0" borderId="11" xfId="0" applyNumberFormat="1" applyFont="1" applyFill="1" applyBorder="1" applyAlignment="1">
      <alignment horizontal="center" vertical="center"/>
    </xf>
    <xf numFmtId="41" fontId="6" fillId="0" borderId="2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41" fontId="6" fillId="0" borderId="21" xfId="0" applyNumberFormat="1" applyFont="1" applyFill="1" applyBorder="1" applyAlignment="1">
      <alignment horizontal="center" vertical="top"/>
    </xf>
    <xf numFmtId="0" fontId="0" fillId="0" borderId="11" xfId="0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top" wrapText="1"/>
    </xf>
    <xf numFmtId="0" fontId="6" fillId="0" borderId="26" xfId="0" applyFont="1" applyFill="1" applyBorder="1" applyAlignment="1">
      <alignment horizontal="center" vertical="top"/>
    </xf>
    <xf numFmtId="0" fontId="6" fillId="0" borderId="3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41" fontId="6" fillId="0" borderId="9" xfId="0" applyNumberFormat="1" applyFont="1" applyFill="1" applyBorder="1" applyAlignment="1">
      <alignment horizontal="center" vertical="center"/>
    </xf>
    <xf numFmtId="41" fontId="6" fillId="0" borderId="19" xfId="0" applyNumberFormat="1" applyFont="1" applyFill="1" applyBorder="1" applyAlignment="1">
      <alignment horizontal="center" vertical="center"/>
    </xf>
    <xf numFmtId="41" fontId="6" fillId="0" borderId="11" xfId="0" applyNumberFormat="1" applyFont="1" applyFill="1" applyBorder="1" applyAlignment="1">
      <alignment horizontal="center" vertical="center"/>
    </xf>
    <xf numFmtId="41" fontId="6" fillId="0" borderId="20" xfId="0" applyNumberFormat="1" applyFont="1" applyFill="1" applyBorder="1" applyAlignment="1">
      <alignment horizontal="center" vertical="top"/>
    </xf>
    <xf numFmtId="41" fontId="6" fillId="0" borderId="26" xfId="0" applyNumberFormat="1" applyFont="1" applyFill="1" applyBorder="1" applyAlignment="1">
      <alignment horizontal="center" vertical="top"/>
    </xf>
    <xf numFmtId="41" fontId="6" fillId="0" borderId="7" xfId="0" applyNumberFormat="1" applyFont="1" applyFill="1" applyBorder="1" applyAlignment="1">
      <alignment horizontal="center" vertical="top"/>
    </xf>
    <xf numFmtId="41" fontId="6" fillId="0" borderId="21" xfId="0" applyNumberFormat="1" applyFont="1" applyFill="1" applyBorder="1" applyAlignment="1">
      <alignment horizontal="center" vertical="top"/>
    </xf>
    <xf numFmtId="41" fontId="6" fillId="0" borderId="25" xfId="0" applyNumberFormat="1" applyFont="1" applyFill="1" applyBorder="1" applyAlignment="1">
      <alignment horizontal="center" vertical="top"/>
    </xf>
    <xf numFmtId="41" fontId="6" fillId="0" borderId="8" xfId="0" applyNumberFormat="1" applyFont="1" applyFill="1" applyBorder="1" applyAlignment="1">
      <alignment horizontal="center" vertical="top"/>
    </xf>
    <xf numFmtId="41" fontId="6" fillId="0" borderId="9" xfId="0" applyNumberFormat="1" applyFont="1" applyFill="1" applyBorder="1" applyAlignment="1">
      <alignment horizontal="center" vertical="top"/>
    </xf>
    <xf numFmtId="0" fontId="0" fillId="2" borderId="27" xfId="0" applyFont="1" applyFill="1" applyBorder="1" applyAlignment="1">
      <alignment horizontal="center" vertical="center"/>
    </xf>
    <xf numFmtId="41" fontId="6" fillId="0" borderId="39" xfId="0" applyNumberFormat="1" applyFont="1" applyFill="1" applyBorder="1" applyAlignment="1">
      <alignment horizontal="center" vertical="top"/>
    </xf>
    <xf numFmtId="0" fontId="6" fillId="0" borderId="35" xfId="0" applyFont="1" applyFill="1" applyBorder="1" applyAlignment="1">
      <alignment horizontal="center" vertical="top"/>
    </xf>
    <xf numFmtId="41" fontId="6" fillId="0" borderId="20" xfId="0" applyNumberFormat="1" applyFont="1" applyFill="1" applyBorder="1" applyAlignment="1">
      <alignment horizontal="center" vertical="center"/>
    </xf>
    <xf numFmtId="41" fontId="6" fillId="0" borderId="26" xfId="0" applyNumberFormat="1" applyFont="1" applyFill="1" applyBorder="1" applyAlignment="1">
      <alignment horizontal="center" vertical="center"/>
    </xf>
    <xf numFmtId="41" fontId="6" fillId="0" borderId="7" xfId="0" applyNumberFormat="1" applyFont="1" applyFill="1" applyBorder="1" applyAlignment="1">
      <alignment horizontal="center" vertical="center"/>
    </xf>
    <xf numFmtId="41" fontId="6" fillId="0" borderId="21" xfId="0" applyNumberFormat="1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1" fontId="6" fillId="0" borderId="21" xfId="0" applyNumberFormat="1" applyFont="1" applyFill="1" applyBorder="1" applyAlignment="1">
      <alignment horizontal="center" vertical="top" wrapText="1"/>
    </xf>
    <xf numFmtId="41" fontId="6" fillId="0" borderId="40" xfId="0" applyNumberFormat="1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6" fillId="0" borderId="46" xfId="0" applyFont="1" applyFill="1" applyBorder="1" applyAlignment="1">
      <alignment horizontal="center" vertical="top"/>
    </xf>
    <xf numFmtId="0" fontId="6" fillId="0" borderId="47" xfId="0" applyFont="1" applyFill="1" applyBorder="1" applyAlignment="1">
      <alignment horizontal="center" vertical="top"/>
    </xf>
    <xf numFmtId="0" fontId="6" fillId="0" borderId="48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6" fillId="0" borderId="40" xfId="0" applyFont="1" applyFill="1" applyBorder="1" applyAlignment="1">
      <alignment horizontal="center" vertical="top"/>
    </xf>
    <xf numFmtId="0" fontId="0" fillId="2" borderId="30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41" fontId="6" fillId="0" borderId="6" xfId="0" applyNumberFormat="1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1" fontId="0" fillId="2" borderId="27" xfId="0" applyNumberFormat="1" applyFont="1" applyFill="1" applyBorder="1" applyAlignment="1">
      <alignment horizontal="center" vertical="center"/>
    </xf>
    <xf numFmtId="41" fontId="0" fillId="2" borderId="33" xfId="0" applyNumberFormat="1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1" fontId="0" fillId="0" borderId="24" xfId="0" applyNumberFormat="1" applyFill="1" applyBorder="1" applyAlignment="1">
      <alignment horizontal="right" vertical="center"/>
    </xf>
    <xf numFmtId="41" fontId="0" fillId="0" borderId="24" xfId="0" applyNumberFormat="1" applyFont="1" applyFill="1" applyBorder="1" applyAlignment="1">
      <alignment horizontal="right" vertical="center"/>
    </xf>
    <xf numFmtId="0" fontId="0" fillId="2" borderId="32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1" fontId="6" fillId="0" borderId="12" xfId="0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left" vertical="center"/>
    </xf>
    <xf numFmtId="41" fontId="6" fillId="0" borderId="35" xfId="0" applyNumberFormat="1" applyFont="1" applyFill="1" applyBorder="1" applyAlignment="1">
      <alignment horizontal="center" vertical="top"/>
    </xf>
    <xf numFmtId="0" fontId="6" fillId="0" borderId="54" xfId="0" applyFont="1" applyFill="1" applyBorder="1" applyAlignment="1">
      <alignment horizontal="center" vertical="top" wrapText="1"/>
    </xf>
    <xf numFmtId="0" fontId="6" fillId="0" borderId="47" xfId="0" applyFont="1" applyFill="1" applyBorder="1" applyAlignment="1">
      <alignment horizontal="center" vertical="top" wrapText="1"/>
    </xf>
    <xf numFmtId="0" fontId="6" fillId="0" borderId="48" xfId="0" applyFont="1" applyFill="1" applyBorder="1" applyAlignment="1">
      <alignment horizontal="center" vertical="top" wrapText="1"/>
    </xf>
    <xf numFmtId="0" fontId="0" fillId="2" borderId="42" xfId="0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0" fillId="0" borderId="24" xfId="0" applyFill="1" applyBorder="1" applyAlignment="1">
      <alignment horizontal="right" vertical="center"/>
    </xf>
    <xf numFmtId="0" fontId="0" fillId="0" borderId="24" xfId="0" applyFont="1" applyFill="1" applyBorder="1" applyAlignment="1">
      <alignment horizontal="right" vertical="center"/>
    </xf>
    <xf numFmtId="0" fontId="0" fillId="2" borderId="33" xfId="0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179" fontId="0" fillId="2" borderId="2" xfId="0" applyNumberFormat="1" applyFont="1" applyFill="1" applyBorder="1" applyAlignment="1">
      <alignment horizontal="center" vertical="center"/>
    </xf>
    <xf numFmtId="184" fontId="6" fillId="0" borderId="4" xfId="0" applyNumberFormat="1" applyFont="1" applyFill="1" applyBorder="1" applyAlignment="1" applyProtection="1">
      <alignment horizontal="right" vertical="center"/>
    </xf>
    <xf numFmtId="41" fontId="4" fillId="0" borderId="34" xfId="0" applyNumberFormat="1" applyFont="1" applyFill="1" applyBorder="1" applyAlignment="1">
      <alignment horizontal="center" vertical="center"/>
    </xf>
    <xf numFmtId="41" fontId="4" fillId="0" borderId="3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top"/>
    </xf>
    <xf numFmtId="41" fontId="6" fillId="0" borderId="6" xfId="7" applyNumberFormat="1" applyFont="1" applyFill="1" applyBorder="1" applyAlignment="1" applyProtection="1">
      <alignment horizontal="right" vertical="center"/>
    </xf>
    <xf numFmtId="184" fontId="6" fillId="0" borderId="18" xfId="0" applyNumberFormat="1" applyFont="1" applyFill="1" applyBorder="1" applyAlignment="1" applyProtection="1">
      <alignment horizontal="right" vertical="center"/>
    </xf>
    <xf numFmtId="41" fontId="0" fillId="0" borderId="35" xfId="0" applyNumberFormat="1" applyFont="1" applyFill="1" applyBorder="1" applyAlignment="1">
      <alignment horizontal="center" vertical="top"/>
    </xf>
    <xf numFmtId="41" fontId="0" fillId="0" borderId="63" xfId="0" applyNumberFormat="1" applyFont="1" applyFill="1" applyBorder="1" applyAlignment="1">
      <alignment horizontal="center" vertical="center"/>
    </xf>
    <xf numFmtId="41" fontId="0" fillId="0" borderId="64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top"/>
    </xf>
    <xf numFmtId="0" fontId="0" fillId="0" borderId="9" xfId="0" applyFont="1" applyFill="1" applyBorder="1" applyAlignment="1">
      <alignment horizontal="center" vertical="center"/>
    </xf>
    <xf numFmtId="184" fontId="6" fillId="0" borderId="10" xfId="0" applyNumberFormat="1" applyFont="1" applyFill="1" applyBorder="1" applyAlignment="1" applyProtection="1">
      <alignment horizontal="right" vertical="center"/>
    </xf>
    <xf numFmtId="41" fontId="0" fillId="0" borderId="26" xfId="0" applyNumberFormat="1" applyFont="1" applyFill="1" applyBorder="1" applyAlignment="1">
      <alignment horizontal="center" vertical="top"/>
    </xf>
    <xf numFmtId="41" fontId="0" fillId="0" borderId="21" xfId="0" applyNumberFormat="1" applyFont="1" applyFill="1" applyBorder="1" applyAlignment="1">
      <alignment horizontal="center" vertical="top"/>
    </xf>
    <xf numFmtId="184" fontId="6" fillId="0" borderId="10" xfId="0" applyNumberFormat="1" applyFont="1" applyFill="1" applyBorder="1" applyAlignment="1">
      <alignment horizontal="right" vertical="center"/>
    </xf>
    <xf numFmtId="41" fontId="0" fillId="0" borderId="25" xfId="0" applyNumberFormat="1" applyFont="1" applyFill="1" applyBorder="1" applyAlignment="1">
      <alignment horizontal="center" vertical="top"/>
    </xf>
    <xf numFmtId="41" fontId="0" fillId="0" borderId="7" xfId="0" applyNumberFormat="1" applyFont="1" applyFill="1" applyBorder="1" applyAlignment="1">
      <alignment horizontal="center" vertical="top"/>
    </xf>
    <xf numFmtId="41" fontId="0" fillId="0" borderId="8" xfId="0" applyNumberFormat="1" applyFont="1" applyFill="1" applyBorder="1" applyAlignment="1">
      <alignment horizontal="center" vertical="top"/>
    </xf>
    <xf numFmtId="41" fontId="0" fillId="0" borderId="20" xfId="0" applyNumberFormat="1" applyFont="1" applyFill="1" applyBorder="1" applyAlignment="1">
      <alignment horizontal="center" vertical="top"/>
    </xf>
    <xf numFmtId="41" fontId="0" fillId="0" borderId="19" xfId="0" applyNumberFormat="1" applyFont="1" applyFill="1" applyBorder="1" applyAlignment="1">
      <alignment horizontal="center" vertical="top"/>
    </xf>
    <xf numFmtId="41" fontId="0" fillId="0" borderId="11" xfId="0" applyNumberFormat="1" applyFont="1" applyFill="1" applyBorder="1" applyAlignment="1">
      <alignment horizontal="center" vertical="top"/>
    </xf>
    <xf numFmtId="0" fontId="0" fillId="0" borderId="20" xfId="0" applyFont="1" applyFill="1" applyBorder="1" applyAlignment="1">
      <alignment horizontal="center" vertical="top"/>
    </xf>
    <xf numFmtId="0" fontId="0" fillId="0" borderId="19" xfId="0" applyFont="1" applyFill="1" applyBorder="1" applyAlignment="1">
      <alignment horizontal="center" vertical="center"/>
    </xf>
    <xf numFmtId="41" fontId="0" fillId="0" borderId="25" xfId="0" applyNumberFormat="1" applyFill="1" applyBorder="1" applyAlignment="1">
      <alignment horizontal="center" vertical="top" wrapText="1"/>
    </xf>
    <xf numFmtId="0" fontId="0" fillId="0" borderId="7" xfId="0" applyFont="1" applyFill="1" applyBorder="1" applyAlignment="1">
      <alignment horizontal="center" vertical="top"/>
    </xf>
    <xf numFmtId="41" fontId="0" fillId="0" borderId="21" xfId="0" applyNumberFormat="1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top"/>
    </xf>
    <xf numFmtId="0" fontId="0" fillId="0" borderId="2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top"/>
    </xf>
    <xf numFmtId="41" fontId="6" fillId="0" borderId="14" xfId="7" applyNumberFormat="1" applyFont="1" applyFill="1" applyBorder="1" applyAlignment="1" applyProtection="1">
      <alignment horizontal="right" vertical="center"/>
    </xf>
    <xf numFmtId="184" fontId="6" fillId="0" borderId="15" xfId="0" applyNumberFormat="1" applyFont="1" applyFill="1" applyBorder="1" applyAlignment="1" applyProtection="1">
      <alignment horizontal="right" vertical="center"/>
    </xf>
    <xf numFmtId="41" fontId="0" fillId="0" borderId="39" xfId="0" applyNumberFormat="1" applyFont="1" applyFill="1" applyBorder="1" applyAlignment="1">
      <alignment horizontal="center" vertical="top"/>
    </xf>
    <xf numFmtId="41" fontId="0" fillId="0" borderId="40" xfId="0" applyNumberFormat="1" applyFont="1" applyFill="1" applyBorder="1" applyAlignment="1">
      <alignment horizontal="center" vertical="top"/>
    </xf>
    <xf numFmtId="41" fontId="6" fillId="0" borderId="40" xfId="0" applyNumberFormat="1" applyFont="1" applyFill="1" applyBorder="1" applyAlignment="1">
      <alignment horizontal="right" vertical="center"/>
    </xf>
    <xf numFmtId="184" fontId="6" fillId="0" borderId="15" xfId="0" applyNumberFormat="1" applyFont="1" applyFill="1" applyBorder="1" applyAlignment="1">
      <alignment horizontal="right" vertical="center"/>
    </xf>
    <xf numFmtId="178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179" fontId="6" fillId="0" borderId="0" xfId="0" applyNumberFormat="1" applyFont="1" applyFill="1" applyAlignment="1">
      <alignment horizontal="right" vertical="center"/>
    </xf>
    <xf numFmtId="179" fontId="0" fillId="0" borderId="0" xfId="0" applyNumberFormat="1" applyFont="1" applyFill="1" applyAlignment="1">
      <alignment horizontal="right" vertical="center"/>
    </xf>
    <xf numFmtId="180" fontId="0" fillId="0" borderId="0" xfId="0" applyNumberFormat="1" applyFont="1" applyFill="1">
      <alignment vertical="center"/>
    </xf>
    <xf numFmtId="3" fontId="0" fillId="0" borderId="9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65" xfId="0" applyFill="1" applyBorder="1" applyAlignment="1">
      <alignment horizontal="center" vertical="center"/>
    </xf>
    <xf numFmtId="176" fontId="0" fillId="0" borderId="14" xfId="0" applyNumberFormat="1" applyFill="1" applyBorder="1" applyAlignment="1">
      <alignment vertical="center"/>
    </xf>
    <xf numFmtId="184" fontId="0" fillId="2" borderId="2" xfId="0" applyNumberFormat="1" applyFont="1" applyFill="1" applyBorder="1" applyAlignment="1">
      <alignment horizontal="center" vertical="center"/>
    </xf>
    <xf numFmtId="41" fontId="15" fillId="0" borderId="34" xfId="0" applyNumberFormat="1" applyFont="1" applyFill="1" applyBorder="1" applyAlignment="1">
      <alignment horizontal="center" vertical="center"/>
    </xf>
    <xf numFmtId="41" fontId="15" fillId="0" borderId="3" xfId="0" applyNumberFormat="1" applyFont="1" applyFill="1" applyBorder="1" applyAlignment="1">
      <alignment horizontal="center" vertical="center"/>
    </xf>
    <xf numFmtId="184" fontId="15" fillId="0" borderId="4" xfId="0" applyNumberFormat="1" applyFont="1" applyFill="1" applyBorder="1" applyAlignment="1" applyProtection="1">
      <alignment horizontal="right" vertical="center"/>
    </xf>
    <xf numFmtId="41" fontId="6" fillId="0" borderId="0" xfId="0" applyNumberFormat="1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80" fontId="6" fillId="0" borderId="0" xfId="0" applyNumberFormat="1" applyFont="1" applyFill="1" applyAlignment="1">
      <alignment horizontal="right" vertical="center"/>
    </xf>
    <xf numFmtId="41" fontId="6" fillId="0" borderId="35" xfId="0" applyNumberFormat="1" applyFont="1" applyFill="1" applyBorder="1" applyAlignment="1">
      <alignment horizontal="center" vertical="center" wrapText="1"/>
    </xf>
    <xf numFmtId="41" fontId="6" fillId="0" borderId="63" xfId="0" applyNumberFormat="1" applyFont="1" applyFill="1" applyBorder="1" applyAlignment="1">
      <alignment horizontal="center" vertical="center"/>
    </xf>
    <xf numFmtId="41" fontId="6" fillId="0" borderId="64" xfId="0" applyNumberFormat="1" applyFont="1" applyBorder="1" applyAlignment="1">
      <alignment horizontal="center" vertical="center"/>
    </xf>
    <xf numFmtId="184" fontId="6" fillId="0" borderId="23" xfId="0" applyNumberFormat="1" applyFont="1" applyFill="1" applyBorder="1" applyAlignment="1" applyProtection="1">
      <alignment horizontal="right" vertical="center"/>
    </xf>
    <xf numFmtId="41" fontId="6" fillId="0" borderId="64" xfId="0" applyNumberFormat="1" applyFont="1" applyFill="1" applyBorder="1" applyAlignment="1">
      <alignment horizontal="center" vertical="center"/>
    </xf>
    <xf numFmtId="41" fontId="6" fillId="0" borderId="26" xfId="0" applyNumberFormat="1" applyFont="1" applyBorder="1" applyAlignment="1">
      <alignment horizontal="center" vertical="center"/>
    </xf>
    <xf numFmtId="41" fontId="6" fillId="0" borderId="21" xfId="0" applyNumberFormat="1" applyFont="1" applyFill="1" applyBorder="1" applyAlignment="1">
      <alignment horizontal="center" vertical="center" wrapText="1"/>
    </xf>
    <xf numFmtId="41" fontId="6" fillId="0" borderId="7" xfId="0" applyNumberFormat="1" applyFont="1" applyBorder="1" applyAlignment="1">
      <alignment horizontal="center" vertical="center"/>
    </xf>
    <xf numFmtId="41" fontId="6" fillId="0" borderId="2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>
      <alignment vertical="center"/>
    </xf>
    <xf numFmtId="41" fontId="6" fillId="0" borderId="8" xfId="0" applyNumberFormat="1" applyFont="1" applyBorder="1" applyAlignment="1">
      <alignment horizontal="center" vertical="center"/>
    </xf>
    <xf numFmtId="41" fontId="6" fillId="0" borderId="11" xfId="0" applyNumberFormat="1" applyFont="1" applyBorder="1" applyAlignment="1">
      <alignment horizontal="center" vertical="center"/>
    </xf>
    <xf numFmtId="41" fontId="6" fillId="0" borderId="46" xfId="0" applyNumberFormat="1" applyFont="1" applyFill="1" applyBorder="1" applyAlignment="1">
      <alignment horizontal="center" vertical="center"/>
    </xf>
    <xf numFmtId="41" fontId="6" fillId="0" borderId="48" xfId="0" applyNumberFormat="1" applyFont="1" applyBorder="1" applyAlignment="1">
      <alignment horizontal="center" vertical="center"/>
    </xf>
    <xf numFmtId="41" fontId="6" fillId="0" borderId="12" xfId="0" applyNumberFormat="1" applyFont="1" applyFill="1" applyBorder="1" applyAlignment="1">
      <alignment vertical="center"/>
    </xf>
    <xf numFmtId="41" fontId="6" fillId="0" borderId="25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>
      <alignment vertical="center"/>
    </xf>
    <xf numFmtId="179" fontId="6" fillId="0" borderId="0" xfId="0" applyNumberFormat="1" applyFont="1" applyFill="1" applyBorder="1">
      <alignment vertical="center"/>
    </xf>
    <xf numFmtId="41" fontId="6" fillId="0" borderId="8" xfId="0" applyNumberFormat="1" applyFont="1" applyFill="1" applyBorder="1" applyAlignment="1">
      <alignment horizontal="center" vertical="top" wrapText="1"/>
    </xf>
    <xf numFmtId="184" fontId="6" fillId="0" borderId="23" xfId="0" applyNumberFormat="1" applyFont="1" applyFill="1" applyBorder="1" applyAlignment="1">
      <alignment horizontal="right" vertical="center"/>
    </xf>
    <xf numFmtId="41" fontId="6" fillId="0" borderId="13" xfId="0" applyNumberFormat="1" applyFont="1" applyFill="1" applyBorder="1" applyAlignment="1">
      <alignment horizontal="center" vertical="center"/>
    </xf>
    <xf numFmtId="41" fontId="6" fillId="0" borderId="14" xfId="7" applyNumberFormat="1" applyFont="1" applyFill="1" applyBorder="1">
      <alignment vertical="center"/>
    </xf>
    <xf numFmtId="41" fontId="6" fillId="0" borderId="15" xfId="0" applyNumberFormat="1" applyFont="1" applyFill="1" applyBorder="1">
      <alignment vertical="center"/>
    </xf>
    <xf numFmtId="41" fontId="6" fillId="0" borderId="40" xfId="0" applyNumberFormat="1" applyFont="1" applyFill="1" applyBorder="1" applyAlignment="1">
      <alignment horizontal="center" vertical="top" wrapText="1"/>
    </xf>
    <xf numFmtId="184" fontId="6" fillId="0" borderId="62" xfId="0" applyNumberFormat="1" applyFont="1" applyFill="1" applyBorder="1" applyAlignment="1">
      <alignment horizontal="right" vertical="center"/>
    </xf>
    <xf numFmtId="41" fontId="0" fillId="2" borderId="30" xfId="0" applyNumberFormat="1" applyFont="1" applyFill="1" applyBorder="1" applyAlignment="1">
      <alignment horizontal="center" vertical="center"/>
    </xf>
    <xf numFmtId="41" fontId="0" fillId="2" borderId="31" xfId="0" applyNumberFormat="1" applyFont="1" applyFill="1" applyBorder="1" applyAlignment="1">
      <alignment horizontal="center" vertical="center"/>
    </xf>
    <xf numFmtId="41" fontId="0" fillId="2" borderId="32" xfId="0" applyNumberFormat="1" applyFont="1" applyFill="1" applyBorder="1" applyAlignment="1">
      <alignment horizontal="center" vertical="center"/>
    </xf>
    <xf numFmtId="41" fontId="0" fillId="2" borderId="28" xfId="0" applyNumberFormat="1" applyFont="1" applyFill="1" applyBorder="1" applyAlignment="1">
      <alignment horizontal="center" vertical="center"/>
    </xf>
    <xf numFmtId="41" fontId="0" fillId="2" borderId="29" xfId="0" applyNumberFormat="1" applyFont="1" applyFill="1" applyBorder="1" applyAlignment="1">
      <alignment horizontal="center" vertical="center"/>
    </xf>
    <xf numFmtId="41" fontId="0" fillId="2" borderId="1" xfId="0" applyNumberFormat="1" applyFont="1" applyFill="1" applyBorder="1" applyAlignment="1">
      <alignment horizontal="center" vertical="center"/>
    </xf>
    <xf numFmtId="41" fontId="0" fillId="2" borderId="1" xfId="7" applyNumberFormat="1" applyFont="1" applyFill="1" applyBorder="1" applyAlignment="1">
      <alignment horizontal="center" vertical="center"/>
    </xf>
    <xf numFmtId="41" fontId="0" fillId="0" borderId="20" xfId="0" applyNumberFormat="1" applyFont="1" applyFill="1" applyBorder="1" applyAlignment="1">
      <alignment horizontal="center" vertical="center"/>
    </xf>
    <xf numFmtId="41" fontId="0" fillId="0" borderId="21" xfId="7" applyNumberFormat="1" applyFont="1" applyFill="1" applyBorder="1">
      <alignment vertical="center"/>
    </xf>
    <xf numFmtId="41" fontId="0" fillId="0" borderId="22" xfId="0" applyNumberFormat="1" applyFont="1" applyFill="1" applyBorder="1">
      <alignment vertical="center"/>
    </xf>
    <xf numFmtId="41" fontId="6" fillId="0" borderId="6" xfId="0" applyNumberFormat="1" applyFont="1" applyFill="1" applyBorder="1" applyAlignment="1">
      <alignment horizontal="center" vertical="center" wrapText="1"/>
    </xf>
    <xf numFmtId="41" fontId="6" fillId="0" borderId="9" xfId="0" applyNumberFormat="1" applyFont="1" applyFill="1" applyBorder="1" applyAlignment="1">
      <alignment horizontal="center" vertical="top" wrapText="1"/>
    </xf>
    <xf numFmtId="41" fontId="6" fillId="0" borderId="19" xfId="0" applyNumberFormat="1" applyFont="1" applyFill="1" applyBorder="1" applyAlignment="1">
      <alignment horizontal="center" vertical="top"/>
    </xf>
    <xf numFmtId="41" fontId="6" fillId="0" borderId="11" xfId="0" applyNumberFormat="1" applyFont="1" applyFill="1" applyBorder="1" applyAlignment="1">
      <alignment horizontal="center" vertical="top"/>
    </xf>
    <xf numFmtId="41" fontId="6" fillId="0" borderId="20" xfId="0" applyNumberFormat="1" applyFont="1" applyFill="1" applyBorder="1" applyAlignment="1">
      <alignment horizontal="center" vertical="top" wrapText="1"/>
    </xf>
    <xf numFmtId="41" fontId="6" fillId="0" borderId="26" xfId="0" applyNumberFormat="1" applyFont="1" applyFill="1" applyBorder="1" applyAlignment="1">
      <alignment horizontal="center" vertical="top" wrapText="1"/>
    </xf>
    <xf numFmtId="41" fontId="6" fillId="0" borderId="7" xfId="0" applyNumberFormat="1" applyFont="1" applyFill="1" applyBorder="1" applyAlignment="1">
      <alignment horizontal="center" vertical="top" wrapText="1"/>
    </xf>
    <xf numFmtId="41" fontId="6" fillId="0" borderId="21" xfId="0" applyNumberFormat="1" applyFont="1" applyFill="1" applyBorder="1">
      <alignment vertical="center"/>
    </xf>
    <xf numFmtId="0" fontId="0" fillId="0" borderId="43" xfId="0" applyFont="1" applyFill="1" applyBorder="1" applyAlignment="1">
      <alignment horizontal="center" vertical="center"/>
    </xf>
    <xf numFmtId="178" fontId="0" fillId="0" borderId="43" xfId="0" applyNumberFormat="1" applyFont="1" applyFill="1" applyBorder="1">
      <alignment vertical="center"/>
    </xf>
    <xf numFmtId="184" fontId="0" fillId="0" borderId="43" xfId="0" applyNumberFormat="1" applyFont="1" applyFill="1" applyBorder="1" applyAlignment="1">
      <alignment horizontal="right" vertical="center"/>
    </xf>
    <xf numFmtId="184" fontId="0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>
      <alignment vertical="center"/>
    </xf>
    <xf numFmtId="0" fontId="0" fillId="0" borderId="8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41" fontId="0" fillId="0" borderId="7" xfId="2" applyFont="1" applyFill="1" applyBorder="1" applyAlignment="1">
      <alignment horizontal="center" vertical="top" wrapText="1"/>
    </xf>
    <xf numFmtId="0" fontId="0" fillId="0" borderId="41" xfId="0" applyFill="1" applyBorder="1" applyAlignment="1">
      <alignment horizontal="center" vertical="top" wrapText="1"/>
    </xf>
    <xf numFmtId="41" fontId="0" fillId="0" borderId="35" xfId="2" applyFont="1" applyFill="1" applyBorder="1" applyAlignment="1">
      <alignment horizontal="center" vertical="top" wrapText="1"/>
    </xf>
    <xf numFmtId="178" fontId="4" fillId="0" borderId="0" xfId="0" applyNumberFormat="1" applyFont="1" applyFill="1" applyBorder="1">
      <alignment vertical="center"/>
    </xf>
    <xf numFmtId="43" fontId="4" fillId="0" borderId="24" xfId="0" applyNumberFormat="1" applyFont="1" applyFill="1" applyBorder="1">
      <alignment vertical="center"/>
    </xf>
    <xf numFmtId="0" fontId="0" fillId="2" borderId="37" xfId="0" applyFill="1" applyBorder="1" applyAlignment="1">
      <alignment horizontal="center" vertical="center" wrapText="1"/>
    </xf>
    <xf numFmtId="184" fontId="0" fillId="0" borderId="66" xfId="0" applyNumberFormat="1" applyFont="1" applyFill="1" applyBorder="1" applyAlignment="1" applyProtection="1">
      <alignment horizontal="right" vertical="center"/>
    </xf>
    <xf numFmtId="0" fontId="0" fillId="0" borderId="21" xfId="0" applyFont="1" applyFill="1" applyBorder="1" applyAlignment="1">
      <alignment vertical="center"/>
    </xf>
    <xf numFmtId="41" fontId="0" fillId="0" borderId="9" xfId="0" applyNumberFormat="1" applyFont="1" applyFill="1" applyBorder="1" applyAlignment="1">
      <alignment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41" fontId="21" fillId="0" borderId="9" xfId="0" applyNumberFormat="1" applyFont="1" applyFill="1" applyBorder="1">
      <alignment vertical="center"/>
    </xf>
    <xf numFmtId="184" fontId="21" fillId="0" borderId="9" xfId="0" applyNumberFormat="1" applyFont="1" applyFill="1" applyBorder="1">
      <alignment vertical="center"/>
    </xf>
    <xf numFmtId="41" fontId="21" fillId="0" borderId="0" xfId="1" applyFont="1" applyFill="1">
      <alignment vertical="center"/>
    </xf>
    <xf numFmtId="0" fontId="21" fillId="0" borderId="0" xfId="0" applyFont="1" applyFill="1">
      <alignment vertical="center"/>
    </xf>
    <xf numFmtId="41" fontId="0" fillId="0" borderId="9" xfId="0" applyNumberFormat="1" applyFill="1" applyBorder="1">
      <alignment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41" fontId="17" fillId="0" borderId="9" xfId="0" applyNumberFormat="1" applyFont="1" applyFill="1" applyBorder="1">
      <alignment vertical="center"/>
    </xf>
    <xf numFmtId="184" fontId="17" fillId="0" borderId="9" xfId="0" applyNumberFormat="1" applyFont="1" applyFill="1" applyBorder="1">
      <alignment vertical="center"/>
    </xf>
    <xf numFmtId="0" fontId="22" fillId="0" borderId="9" xfId="0" applyFont="1" applyFill="1" applyBorder="1">
      <alignment vertical="center"/>
    </xf>
    <xf numFmtId="176" fontId="17" fillId="0" borderId="9" xfId="0" applyNumberFormat="1" applyFont="1" applyFill="1" applyBorder="1" applyAlignment="1">
      <alignment vertical="center"/>
    </xf>
    <xf numFmtId="176" fontId="17" fillId="0" borderId="9" xfId="0" applyNumberFormat="1" applyFont="1" applyFill="1" applyBorder="1" applyAlignment="1">
      <alignment horizontal="right" vertical="center"/>
    </xf>
    <xf numFmtId="0" fontId="17" fillId="0" borderId="9" xfId="0" applyFont="1" applyFill="1" applyBorder="1" applyAlignment="1">
      <alignment horizontal="center" vertical="center"/>
    </xf>
    <xf numFmtId="180" fontId="17" fillId="0" borderId="10" xfId="0" applyNumberFormat="1" applyFont="1" applyFill="1" applyBorder="1" applyAlignment="1">
      <alignment horizontal="right" vertical="center"/>
    </xf>
    <xf numFmtId="176" fontId="23" fillId="0" borderId="9" xfId="8" applyNumberFormat="1" applyFill="1" applyBorder="1" applyAlignment="1" applyProtection="1">
      <alignment horizontal="center" vertical="center"/>
    </xf>
    <xf numFmtId="0" fontId="0" fillId="0" borderId="9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/>
    </xf>
    <xf numFmtId="0" fontId="0" fillId="0" borderId="14" xfId="0" applyFont="1" applyFill="1" applyBorder="1" applyAlignment="1">
      <alignment vertical="center"/>
    </xf>
    <xf numFmtId="41" fontId="0" fillId="0" borderId="40" xfId="0" applyNumberFormat="1" applyFont="1" applyFill="1" applyBorder="1">
      <alignment vertical="center"/>
    </xf>
    <xf numFmtId="0" fontId="0" fillId="0" borderId="14" xfId="0" applyFont="1" applyFill="1" applyBorder="1">
      <alignment vertical="center"/>
    </xf>
    <xf numFmtId="0" fontId="0" fillId="4" borderId="0" xfId="0" applyFont="1" applyFill="1">
      <alignment vertical="center"/>
    </xf>
    <xf numFmtId="0" fontId="0" fillId="4" borderId="0" xfId="0" applyFont="1" applyFill="1" applyBorder="1">
      <alignment vertical="center"/>
    </xf>
    <xf numFmtId="178" fontId="0" fillId="4" borderId="0" xfId="0" applyNumberFormat="1" applyFont="1" applyFill="1" applyBorder="1">
      <alignment vertical="center"/>
    </xf>
    <xf numFmtId="179" fontId="0" fillId="4" borderId="0" xfId="0" applyNumberFormat="1" applyFont="1" applyFill="1" applyBorder="1">
      <alignment vertical="center"/>
    </xf>
    <xf numFmtId="41" fontId="0" fillId="4" borderId="0" xfId="1" applyFont="1" applyFill="1">
      <alignment vertical="center"/>
    </xf>
    <xf numFmtId="179" fontId="0" fillId="4" borderId="0" xfId="0" applyNumberFormat="1" applyFont="1" applyFill="1">
      <alignment vertical="center"/>
    </xf>
    <xf numFmtId="176" fontId="0" fillId="4" borderId="0" xfId="0" applyNumberFormat="1" applyFont="1" applyFill="1" applyBorder="1">
      <alignment vertical="center"/>
    </xf>
    <xf numFmtId="178" fontId="0" fillId="4" borderId="0" xfId="0" applyNumberFormat="1" applyFont="1" applyFill="1">
      <alignment vertical="center"/>
    </xf>
    <xf numFmtId="41" fontId="6" fillId="0" borderId="11" xfId="0" applyNumberFormat="1" applyFont="1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1" fontId="6" fillId="0" borderId="21" xfId="0" applyNumberFormat="1" applyFont="1" applyFill="1" applyBorder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41" fontId="2" fillId="0" borderId="0" xfId="1" applyFont="1" applyFill="1">
      <alignment vertical="center"/>
    </xf>
    <xf numFmtId="0" fontId="0" fillId="0" borderId="0" xfId="0" applyNumberFormat="1" applyFont="1" applyFill="1">
      <alignment vertical="center"/>
    </xf>
    <xf numFmtId="41" fontId="0" fillId="0" borderId="28" xfId="1" applyFont="1" applyFill="1" applyBorder="1" applyAlignment="1">
      <alignment horizontal="center" vertical="center"/>
    </xf>
    <xf numFmtId="180" fontId="0" fillId="0" borderId="27" xfId="0" applyNumberFormat="1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41" fontId="0" fillId="0" borderId="27" xfId="0" applyNumberFormat="1" applyFont="1" applyFill="1" applyBorder="1" applyAlignment="1">
      <alignment horizontal="center" vertical="center"/>
    </xf>
    <xf numFmtId="41" fontId="24" fillId="0" borderId="0" xfId="1" applyFont="1" applyFill="1">
      <alignment vertical="center"/>
    </xf>
    <xf numFmtId="184" fontId="0" fillId="0" borderId="9" xfId="0" applyNumberFormat="1" applyFont="1" applyFill="1" applyBorder="1" applyAlignment="1">
      <alignment vertical="center"/>
    </xf>
    <xf numFmtId="0" fontId="0" fillId="0" borderId="21" xfId="0" applyFont="1" applyFill="1" applyBorder="1">
      <alignment vertical="center"/>
    </xf>
    <xf numFmtId="0" fontId="6" fillId="0" borderId="35" xfId="0" applyFont="1" applyFill="1" applyBorder="1" applyAlignment="1">
      <alignment horizontal="center" vertical="top" wrapText="1"/>
    </xf>
    <xf numFmtId="0" fontId="6" fillId="0" borderId="63" xfId="0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3" fontId="0" fillId="0" borderId="0" xfId="0" applyNumberFormat="1" applyFont="1" applyFill="1" applyBorder="1">
      <alignment vertical="center"/>
    </xf>
    <xf numFmtId="0" fontId="6" fillId="0" borderId="8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2" xfId="0" applyFont="1" applyFill="1" applyBorder="1" applyAlignment="1">
      <alignment vertical="top"/>
    </xf>
    <xf numFmtId="0" fontId="6" fillId="0" borderId="9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3" xfId="0" applyFont="1" applyFill="1" applyBorder="1" applyAlignment="1">
      <alignment vertical="top"/>
    </xf>
    <xf numFmtId="0" fontId="6" fillId="0" borderId="14" xfId="0" applyFont="1" applyFill="1" applyBorder="1" applyAlignment="1">
      <alignment horizontal="center" vertical="top"/>
    </xf>
    <xf numFmtId="41" fontId="0" fillId="0" borderId="41" xfId="2" applyFont="1" applyFill="1" applyBorder="1" applyAlignment="1">
      <alignment horizontal="center" vertical="top" wrapText="1"/>
    </xf>
    <xf numFmtId="41" fontId="0" fillId="0" borderId="26" xfId="2" applyFont="1" applyFill="1" applyBorder="1" applyAlignment="1">
      <alignment horizontal="center" vertical="top" wrapText="1"/>
    </xf>
    <xf numFmtId="41" fontId="0" fillId="0" borderId="25" xfId="2" applyFont="1" applyFill="1" applyBorder="1" applyAlignment="1">
      <alignment horizontal="center" vertical="top" wrapText="1"/>
    </xf>
    <xf numFmtId="41" fontId="0" fillId="0" borderId="8" xfId="2" applyFont="1" applyFill="1" applyBorder="1" applyAlignment="1">
      <alignment horizontal="center" vertical="top" wrapText="1"/>
    </xf>
    <xf numFmtId="176" fontId="0" fillId="0" borderId="14" xfId="0" applyNumberFormat="1" applyFill="1" applyBorder="1" applyAlignment="1">
      <alignment horizontal="right" vertical="center"/>
    </xf>
    <xf numFmtId="0" fontId="0" fillId="0" borderId="35" xfId="0" applyFill="1" applyBorder="1" applyAlignment="1">
      <alignment horizontal="center" vertical="top"/>
    </xf>
    <xf numFmtId="0" fontId="0" fillId="0" borderId="26" xfId="0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25" xfId="0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0" borderId="9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top"/>
    </xf>
    <xf numFmtId="0" fontId="0" fillId="0" borderId="40" xfId="0" applyFill="1" applyBorder="1" applyAlignment="1">
      <alignment horizontal="center" vertical="top"/>
    </xf>
  </cellXfs>
  <cellStyles count="9">
    <cellStyle name="쉼표 [0]" xfId="1" builtinId="6"/>
    <cellStyle name="쉼표 [0] 2" xfId="2"/>
    <cellStyle name="쉼표 [0] 3" xfId="3"/>
    <cellStyle name="통화 [0]" xfId="7" builtinId="7"/>
    <cellStyle name="표준" xfId="0" builtinId="0"/>
    <cellStyle name="표준 2" xfId="4"/>
    <cellStyle name="표준 3" xfId="5"/>
    <cellStyle name="표준 4" xfId="6"/>
    <cellStyle name="하이퍼링크" xfId="8" builtinId="8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&#45380;%20&#52280;&#51339;&#51008;&#45432;&#51064;&#50696;&#49328;(&#49885;&#49324;&#48176;&#45804;&#49324;&#50629;)-&#52572;&#5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6&#45380;%20&#52280;&#51339;&#51008;&#45432;&#51064;&#50696;&#49328;(&#48169;&#47928;)-&#52572;&#5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총괄"/>
      <sheetName val="세입"/>
      <sheetName val="세출"/>
      <sheetName val="변경사유서"/>
    </sheetNames>
    <sheetDataSet>
      <sheetData sheetId="0" refreshError="1"/>
      <sheetData sheetId="1"/>
      <sheetData sheetId="2">
        <row r="6">
          <cell r="F6">
            <v>25503000</v>
          </cell>
        </row>
        <row r="7">
          <cell r="B7" t="str">
            <v>보조금수입</v>
          </cell>
          <cell r="C7" t="str">
            <v>보조금수입</v>
          </cell>
        </row>
        <row r="8">
          <cell r="D8" t="str">
            <v>도시락보조금</v>
          </cell>
          <cell r="E8">
            <v>10500000</v>
          </cell>
          <cell r="F8">
            <v>10500000</v>
          </cell>
        </row>
        <row r="9">
          <cell r="D9" t="str">
            <v>밑반찬보조금</v>
          </cell>
          <cell r="E9">
            <v>10944000</v>
          </cell>
          <cell r="F9">
            <v>10944000</v>
          </cell>
        </row>
        <row r="10">
          <cell r="B10" t="str">
            <v>후원금수입</v>
          </cell>
        </row>
        <row r="11">
          <cell r="D11" t="str">
            <v>비지정후원금</v>
          </cell>
          <cell r="E11">
            <v>300000</v>
          </cell>
          <cell r="F11">
            <v>300000</v>
          </cell>
        </row>
        <row r="13">
          <cell r="B13" t="str">
            <v>전입금수입</v>
          </cell>
        </row>
        <row r="14">
          <cell r="E14">
            <v>1932000</v>
          </cell>
          <cell r="F14">
            <v>3672000</v>
          </cell>
        </row>
        <row r="15">
          <cell r="B15" t="str">
            <v>이월금</v>
          </cell>
        </row>
        <row r="16">
          <cell r="D16" t="str">
            <v>전년도 이월금</v>
          </cell>
          <cell r="E16">
            <v>3549</v>
          </cell>
          <cell r="F16">
            <v>23000</v>
          </cell>
        </row>
        <row r="17">
          <cell r="D17" t="str">
            <v>전년도이월금(후원금)</v>
          </cell>
          <cell r="E17">
            <v>128820</v>
          </cell>
          <cell r="F17">
            <v>60000</v>
          </cell>
        </row>
        <row r="18">
          <cell r="B18" t="str">
            <v>잡수입</v>
          </cell>
          <cell r="C18" t="str">
            <v>잡수입</v>
          </cell>
        </row>
        <row r="19">
          <cell r="D19" t="str">
            <v>기타예금이자수입</v>
          </cell>
          <cell r="E19">
            <v>3631</v>
          </cell>
          <cell r="F19">
            <v>4000</v>
          </cell>
        </row>
      </sheetData>
      <sheetData sheetId="3">
        <row r="8">
          <cell r="B8" t="str">
            <v>사무비</v>
          </cell>
        </row>
        <row r="9">
          <cell r="C9" t="str">
            <v>운영비</v>
          </cell>
          <cell r="D9" t="str">
            <v>소  계</v>
          </cell>
        </row>
        <row r="10">
          <cell r="D10" t="str">
            <v>수용비및수수료</v>
          </cell>
          <cell r="E10">
            <v>355185</v>
          </cell>
          <cell r="F10">
            <v>300000</v>
          </cell>
        </row>
        <row r="11">
          <cell r="D11" t="str">
            <v>제세공과금</v>
          </cell>
          <cell r="E11">
            <v>75000</v>
          </cell>
          <cell r="F11">
            <v>81000</v>
          </cell>
        </row>
        <row r="12">
          <cell r="B12" t="str">
            <v>사업비</v>
          </cell>
          <cell r="C12" t="str">
            <v>계</v>
          </cell>
        </row>
        <row r="13">
          <cell r="D13" t="str">
            <v>소계</v>
          </cell>
        </row>
        <row r="14">
          <cell r="D14" t="str">
            <v>도시락지원서비스</v>
          </cell>
          <cell r="E14">
            <v>11184000</v>
          </cell>
          <cell r="F14">
            <v>11796000</v>
          </cell>
        </row>
        <row r="15">
          <cell r="D15" t="str">
            <v>밑반찬지원서비스</v>
          </cell>
          <cell r="E15">
            <v>12192000</v>
          </cell>
          <cell r="F15">
            <v>13320000</v>
          </cell>
        </row>
        <row r="16">
          <cell r="B16" t="str">
            <v>예비비및기타</v>
          </cell>
          <cell r="C16" t="str">
            <v>계</v>
          </cell>
        </row>
        <row r="17">
          <cell r="C17" t="str">
            <v>예비비및기타</v>
          </cell>
          <cell r="D17" t="str">
            <v>소계</v>
          </cell>
        </row>
        <row r="18">
          <cell r="D18" t="str">
            <v>반환금</v>
          </cell>
          <cell r="E18">
            <v>2851</v>
          </cell>
          <cell r="F18">
            <v>3000</v>
          </cell>
        </row>
        <row r="19">
          <cell r="D19" t="str">
            <v>차기반환금(예금이자)</v>
          </cell>
          <cell r="E19">
            <v>2964</v>
          </cell>
          <cell r="F19">
            <v>3000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총괄"/>
      <sheetName val="세입"/>
      <sheetName val="세출"/>
      <sheetName val="변경사유서"/>
    </sheetNames>
    <sheetDataSet>
      <sheetData sheetId="0" refreshError="1"/>
      <sheetData sheetId="1"/>
      <sheetData sheetId="2">
        <row r="8">
          <cell r="E8">
            <v>27181080</v>
          </cell>
          <cell r="F8">
            <v>29290920</v>
          </cell>
        </row>
        <row r="10">
          <cell r="E10">
            <v>319234080</v>
          </cell>
          <cell r="F10">
            <v>345226200</v>
          </cell>
        </row>
        <row r="12">
          <cell r="B12" t="str">
            <v>이월금</v>
          </cell>
          <cell r="C12" t="str">
            <v>이월금</v>
          </cell>
        </row>
        <row r="13">
          <cell r="E13">
            <v>20261277</v>
          </cell>
          <cell r="F13">
            <v>25000000</v>
          </cell>
        </row>
        <row r="15">
          <cell r="E15">
            <v>22377160</v>
          </cell>
          <cell r="F15">
            <v>25000000</v>
          </cell>
        </row>
        <row r="16">
          <cell r="B16" t="str">
            <v>잡수입</v>
          </cell>
          <cell r="C16" t="str">
            <v>잡수입</v>
          </cell>
        </row>
        <row r="17">
          <cell r="E17">
            <v>9661403</v>
          </cell>
          <cell r="F17">
            <v>1950000</v>
          </cell>
        </row>
        <row r="18">
          <cell r="E18">
            <v>0</v>
          </cell>
          <cell r="F18">
            <v>40880</v>
          </cell>
        </row>
        <row r="19">
          <cell r="E19">
            <v>0</v>
          </cell>
          <cell r="F19">
            <v>720000</v>
          </cell>
        </row>
      </sheetData>
      <sheetData sheetId="3">
        <row r="8">
          <cell r="D8" t="str">
            <v>급여</v>
          </cell>
          <cell r="E8">
            <v>243924070</v>
          </cell>
          <cell r="F8">
            <v>280536720</v>
          </cell>
        </row>
        <row r="12">
          <cell r="D12" t="str">
            <v>제수당</v>
          </cell>
          <cell r="E12">
            <v>3872680</v>
          </cell>
          <cell r="F12">
            <v>15147880</v>
          </cell>
        </row>
        <row r="27">
          <cell r="D27" t="str">
            <v>퇴직금 및 퇴직적립금</v>
          </cell>
          <cell r="E27">
            <v>20649720</v>
          </cell>
          <cell r="F27">
            <v>24640380</v>
          </cell>
        </row>
        <row r="29">
          <cell r="D29" t="str">
            <v>사회보험부담금</v>
          </cell>
          <cell r="E29">
            <v>22816600</v>
          </cell>
          <cell r="F29">
            <v>27304760</v>
          </cell>
        </row>
        <row r="35">
          <cell r="D35" t="str">
            <v>기타후생경비</v>
          </cell>
          <cell r="E35">
            <v>6400000</v>
          </cell>
          <cell r="F35">
            <v>2700000</v>
          </cell>
        </row>
        <row r="40">
          <cell r="D40" t="str">
            <v>기관운영비</v>
          </cell>
          <cell r="E40">
            <v>1600000</v>
          </cell>
          <cell r="F40">
            <v>1000000</v>
          </cell>
        </row>
        <row r="41">
          <cell r="D41" t="str">
            <v>회의비</v>
          </cell>
          <cell r="E41">
            <v>1200000</v>
          </cell>
          <cell r="F41">
            <v>1200000</v>
          </cell>
        </row>
        <row r="43">
          <cell r="D43" t="str">
            <v>여비</v>
          </cell>
          <cell r="E43">
            <v>1000000</v>
          </cell>
          <cell r="F43">
            <v>600000</v>
          </cell>
        </row>
        <row r="44">
          <cell r="D44" t="str">
            <v>수용비및수수료</v>
          </cell>
          <cell r="E44">
            <v>3000000</v>
          </cell>
          <cell r="F44">
            <v>3800000</v>
          </cell>
        </row>
        <row r="47">
          <cell r="D47" t="str">
            <v>공공요금</v>
          </cell>
          <cell r="E47">
            <v>1640000</v>
          </cell>
          <cell r="F47">
            <v>970000</v>
          </cell>
        </row>
        <row r="51">
          <cell r="D51" t="str">
            <v>제세공과금</v>
          </cell>
          <cell r="E51">
            <v>2800000</v>
          </cell>
          <cell r="F51">
            <v>2700000</v>
          </cell>
        </row>
        <row r="56">
          <cell r="D56" t="str">
            <v>차량비</v>
          </cell>
          <cell r="E56">
            <v>2300000</v>
          </cell>
          <cell r="F56">
            <v>1600000</v>
          </cell>
        </row>
        <row r="59">
          <cell r="E59">
            <v>7000000</v>
          </cell>
          <cell r="F59">
            <v>3200000</v>
          </cell>
        </row>
        <row r="62">
          <cell r="B62" t="str">
            <v>재산조성비</v>
          </cell>
        </row>
        <row r="64">
          <cell r="E64">
            <v>1000000</v>
          </cell>
          <cell r="F64">
            <v>1000000</v>
          </cell>
        </row>
        <row r="65">
          <cell r="D65" t="str">
            <v>자산취득비</v>
          </cell>
          <cell r="E65">
            <v>2000000</v>
          </cell>
          <cell r="F65">
            <v>1300000</v>
          </cell>
        </row>
        <row r="67">
          <cell r="D67" t="str">
            <v>시설장비유지비</v>
          </cell>
          <cell r="E67">
            <v>1000000</v>
          </cell>
          <cell r="F67">
            <v>1000000</v>
          </cell>
        </row>
        <row r="68">
          <cell r="B68" t="str">
            <v>사업비</v>
          </cell>
        </row>
        <row r="70">
          <cell r="D70" t="str">
            <v>김장서비스</v>
          </cell>
          <cell r="E70">
            <v>100000</v>
          </cell>
          <cell r="F70">
            <v>330000</v>
          </cell>
        </row>
        <row r="71">
          <cell r="D71" t="str">
            <v>어버이날선물지원</v>
          </cell>
          <cell r="E71">
            <v>480000</v>
          </cell>
          <cell r="F71">
            <v>700000</v>
          </cell>
        </row>
        <row r="72">
          <cell r="D72" t="str">
            <v>생신지원</v>
          </cell>
          <cell r="E72">
            <v>384000</v>
          </cell>
          <cell r="F72">
            <v>700000</v>
          </cell>
        </row>
        <row r="73">
          <cell r="D73" t="str">
            <v>명절지원</v>
          </cell>
          <cell r="E73">
            <v>1408000</v>
          </cell>
          <cell r="F73">
            <v>1400000</v>
          </cell>
        </row>
        <row r="74">
          <cell r="D74" t="str">
            <v>혹서한기지원</v>
          </cell>
          <cell r="E74">
            <v>1500000</v>
          </cell>
          <cell r="F74">
            <v>800000</v>
          </cell>
        </row>
        <row r="77">
          <cell r="D77" t="str">
            <v>특식지원</v>
          </cell>
          <cell r="E77">
            <v>320000</v>
          </cell>
          <cell r="F77">
            <v>350000</v>
          </cell>
        </row>
        <row r="78">
          <cell r="D78" t="str">
            <v>기타지원</v>
          </cell>
          <cell r="E78">
            <v>1150000</v>
          </cell>
          <cell r="F78">
            <v>600000</v>
          </cell>
        </row>
        <row r="83">
          <cell r="D83" t="str">
            <v>관리지원사업</v>
          </cell>
          <cell r="E83">
            <v>5400000</v>
          </cell>
          <cell r="F83">
            <v>3900000</v>
          </cell>
        </row>
        <row r="87">
          <cell r="D87" t="str">
            <v>직무교육사업</v>
          </cell>
          <cell r="E87">
            <v>4700000</v>
          </cell>
          <cell r="F87">
            <v>4960000</v>
          </cell>
        </row>
        <row r="90">
          <cell r="E90">
            <v>1560000</v>
          </cell>
          <cell r="F90">
            <v>1560000</v>
          </cell>
        </row>
        <row r="92">
          <cell r="D92" t="str">
            <v>계몽홍보사업</v>
          </cell>
          <cell r="E92">
            <v>3000000</v>
          </cell>
          <cell r="F92">
            <v>400000</v>
          </cell>
        </row>
        <row r="93">
          <cell r="D93" t="str">
            <v>지역사회조직사업</v>
          </cell>
          <cell r="E93">
            <v>500000</v>
          </cell>
          <cell r="F93">
            <v>200000</v>
          </cell>
        </row>
        <row r="94">
          <cell r="D94" t="str">
            <v>직원연수</v>
          </cell>
          <cell r="E94">
            <v>2500000</v>
          </cell>
          <cell r="F94">
            <v>0</v>
          </cell>
        </row>
        <row r="95">
          <cell r="D95" t="str">
            <v>직원교육비</v>
          </cell>
          <cell r="F95">
            <v>1600000</v>
          </cell>
        </row>
        <row r="96">
          <cell r="D96" t="str">
            <v>자원봉사자관리</v>
          </cell>
          <cell r="E96">
            <v>100000</v>
          </cell>
          <cell r="F96">
            <v>50000</v>
          </cell>
        </row>
        <row r="99">
          <cell r="E99">
            <v>20532000</v>
          </cell>
          <cell r="F99">
            <v>38472000</v>
          </cell>
        </row>
        <row r="103">
          <cell r="B103" t="str">
            <v>과년도지출</v>
          </cell>
        </row>
        <row r="104">
          <cell r="C104" t="str">
            <v>과년도지출</v>
          </cell>
        </row>
        <row r="105">
          <cell r="D105" t="str">
            <v>과년도지출</v>
          </cell>
          <cell r="E105">
            <v>22377160</v>
          </cell>
          <cell r="F105">
            <v>0</v>
          </cell>
        </row>
        <row r="106">
          <cell r="B106" t="str">
            <v>잡지출</v>
          </cell>
        </row>
        <row r="107">
          <cell r="C107" t="str">
            <v>잡지출</v>
          </cell>
        </row>
        <row r="108">
          <cell r="D108" t="str">
            <v>잡지출</v>
          </cell>
          <cell r="E108">
            <v>300000</v>
          </cell>
          <cell r="F108">
            <v>300000</v>
          </cell>
        </row>
        <row r="109">
          <cell r="B109" t="str">
            <v>예비비</v>
          </cell>
        </row>
        <row r="110">
          <cell r="C110" t="str">
            <v>예비비</v>
          </cell>
        </row>
        <row r="111">
          <cell r="D111" t="str">
            <v>예비비</v>
          </cell>
          <cell r="E111">
            <v>200770</v>
          </cell>
          <cell r="F111">
            <v>206260</v>
          </cell>
        </row>
        <row r="112">
          <cell r="B112" t="str">
            <v>적립금</v>
          </cell>
        </row>
        <row r="114">
          <cell r="D114" t="str">
            <v>운영충당적립금</v>
          </cell>
          <cell r="E114">
            <v>5000000</v>
          </cell>
          <cell r="F114">
            <v>1000000</v>
          </cell>
        </row>
        <row r="115">
          <cell r="B115" t="str">
            <v>준비금</v>
          </cell>
        </row>
        <row r="117">
          <cell r="D117" t="str">
            <v>시설환경개선준비금</v>
          </cell>
          <cell r="E117">
            <v>5000000</v>
          </cell>
          <cell r="F117">
            <v>1000000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231"/>
  <sheetViews>
    <sheetView view="pageBreakPreview" zoomScale="75" zoomScaleSheetLayoutView="75" workbookViewId="0">
      <selection activeCell="D69" sqref="D69"/>
    </sheetView>
  </sheetViews>
  <sheetFormatPr defaultRowHeight="13.5"/>
  <cols>
    <col min="1" max="1" width="2.44140625" style="4" customWidth="1"/>
    <col min="2" max="3" width="10" style="40" customWidth="1"/>
    <col min="4" max="4" width="16.33203125" style="40" customWidth="1"/>
    <col min="5" max="5" width="14.44140625" style="11" customWidth="1"/>
    <col min="6" max="6" width="14.44140625" style="17" customWidth="1"/>
    <col min="7" max="7" width="11.6640625" style="33" customWidth="1"/>
    <col min="8" max="8" width="8.109375" style="4" customWidth="1"/>
    <col min="9" max="10" width="10.21875" style="40" customWidth="1"/>
    <col min="11" max="11" width="16.109375" style="40" customWidth="1"/>
    <col min="12" max="13" width="14.44140625" style="138" customWidth="1"/>
    <col min="14" max="14" width="11.6640625" style="138" customWidth="1"/>
    <col min="15" max="15" width="8" style="139" customWidth="1"/>
    <col min="16" max="16" width="8.88671875" style="4"/>
    <col min="17" max="17" width="11.5546875" style="4" bestFit="1" customWidth="1"/>
    <col min="18" max="18" width="8.88671875" style="4"/>
    <col min="19" max="19" width="17.21875" style="4" bestFit="1" customWidth="1"/>
    <col min="20" max="23" width="8.88671875" style="4"/>
    <col min="24" max="24" width="27.33203125" style="4" bestFit="1" customWidth="1"/>
    <col min="25" max="25" width="34.33203125" style="17" bestFit="1" customWidth="1"/>
    <col min="26" max="26" width="13.6640625" style="27" bestFit="1" customWidth="1"/>
    <col min="27" max="16384" width="8.88671875" style="4"/>
  </cols>
  <sheetData>
    <row r="1" spans="2:26" ht="26.25" customHeight="1">
      <c r="B1" s="332" t="s">
        <v>229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2:26" ht="16.5" customHeight="1" thickBot="1">
      <c r="B2" s="342"/>
      <c r="C2" s="342"/>
      <c r="D2" s="342"/>
      <c r="E2" s="24"/>
      <c r="F2" s="28"/>
      <c r="G2" s="29"/>
      <c r="H2" s="7"/>
      <c r="I2" s="53"/>
      <c r="J2" s="53"/>
      <c r="K2" s="53"/>
      <c r="L2" s="135"/>
      <c r="M2" s="135"/>
      <c r="N2" s="334" t="s">
        <v>44</v>
      </c>
      <c r="O2" s="335"/>
      <c r="P2" s="5"/>
      <c r="Q2" s="5"/>
      <c r="R2" s="5"/>
      <c r="S2" s="5"/>
      <c r="T2" s="5"/>
      <c r="U2" s="5"/>
      <c r="V2" s="5"/>
      <c r="W2" s="5"/>
      <c r="X2" s="5"/>
    </row>
    <row r="3" spans="2:26" ht="15" customHeight="1">
      <c r="B3" s="321" t="s">
        <v>32</v>
      </c>
      <c r="C3" s="322"/>
      <c r="D3" s="322"/>
      <c r="E3" s="322"/>
      <c r="F3" s="322"/>
      <c r="G3" s="322"/>
      <c r="H3" s="322"/>
      <c r="I3" s="322" t="s">
        <v>33</v>
      </c>
      <c r="J3" s="322"/>
      <c r="K3" s="322"/>
      <c r="L3" s="322"/>
      <c r="M3" s="322"/>
      <c r="N3" s="322"/>
      <c r="O3" s="336"/>
      <c r="P3" s="5"/>
      <c r="Q3" s="323"/>
      <c r="R3" s="323"/>
      <c r="S3" s="323"/>
      <c r="T3" s="324"/>
      <c r="U3" s="324"/>
      <c r="V3" s="323"/>
      <c r="W3" s="323"/>
      <c r="X3" s="5"/>
    </row>
    <row r="4" spans="2:26" ht="20.25" customHeight="1">
      <c r="B4" s="326" t="s">
        <v>2</v>
      </c>
      <c r="C4" s="300" t="s">
        <v>3</v>
      </c>
      <c r="D4" s="300" t="s">
        <v>4</v>
      </c>
      <c r="E4" s="331" t="s">
        <v>230</v>
      </c>
      <c r="F4" s="331" t="s">
        <v>231</v>
      </c>
      <c r="G4" s="300" t="s">
        <v>5</v>
      </c>
      <c r="H4" s="300"/>
      <c r="I4" s="300" t="s">
        <v>2</v>
      </c>
      <c r="J4" s="300" t="s">
        <v>3</v>
      </c>
      <c r="K4" s="300" t="s">
        <v>4</v>
      </c>
      <c r="L4" s="331" t="s">
        <v>230</v>
      </c>
      <c r="M4" s="331" t="s">
        <v>231</v>
      </c>
      <c r="N4" s="329" t="s">
        <v>5</v>
      </c>
      <c r="O4" s="330"/>
      <c r="P4" s="5"/>
      <c r="Q4" s="284"/>
      <c r="R4" s="284"/>
      <c r="S4" s="284"/>
      <c r="T4" s="284"/>
      <c r="U4" s="284"/>
      <c r="V4" s="18"/>
      <c r="W4" s="18"/>
      <c r="X4" s="5"/>
    </row>
    <row r="5" spans="2:26" ht="23.25" customHeight="1" thickBot="1">
      <c r="B5" s="327"/>
      <c r="C5" s="328"/>
      <c r="D5" s="328"/>
      <c r="E5" s="328"/>
      <c r="F5" s="328"/>
      <c r="G5" s="30" t="s">
        <v>6</v>
      </c>
      <c r="H5" s="63" t="s">
        <v>7</v>
      </c>
      <c r="I5" s="328"/>
      <c r="J5" s="328"/>
      <c r="K5" s="328"/>
      <c r="L5" s="328"/>
      <c r="M5" s="328"/>
      <c r="N5" s="136" t="s">
        <v>6</v>
      </c>
      <c r="O5" s="137" t="s">
        <v>7</v>
      </c>
      <c r="P5" s="5"/>
      <c r="Q5" s="77"/>
      <c r="R5" s="77"/>
      <c r="S5" s="77"/>
      <c r="T5" s="5"/>
      <c r="U5" s="5"/>
      <c r="V5" s="5"/>
      <c r="W5" s="5"/>
      <c r="X5" s="5"/>
    </row>
    <row r="6" spans="2:26" ht="17.25" customHeight="1" thickBot="1">
      <c r="B6" s="337" t="s">
        <v>34</v>
      </c>
      <c r="C6" s="338"/>
      <c r="D6" s="338"/>
      <c r="E6" s="143">
        <f>E7+E10+E13+E15+E18</f>
        <v>172970000</v>
      </c>
      <c r="F6" s="143">
        <f>F7+F10+F13+F15+F18</f>
        <v>178070000</v>
      </c>
      <c r="G6" s="143">
        <f>F6-E6</f>
        <v>5100000</v>
      </c>
      <c r="H6" s="144">
        <f>F6/E6*100-100</f>
        <v>2.9484881771405469</v>
      </c>
      <c r="I6" s="339" t="s">
        <v>201</v>
      </c>
      <c r="J6" s="340"/>
      <c r="K6" s="340"/>
      <c r="L6" s="143">
        <f>L7+L23+L27+L58+L61</f>
        <v>172970000</v>
      </c>
      <c r="M6" s="143">
        <f>M7+M23+M27+M58+M61</f>
        <v>178070000</v>
      </c>
      <c r="N6" s="143">
        <f>M6-L6</f>
        <v>5100000</v>
      </c>
      <c r="O6" s="154">
        <f>M6/L6*100-100</f>
        <v>2.9484881771405469</v>
      </c>
      <c r="P6" s="176"/>
      <c r="Q6" s="176"/>
      <c r="R6" s="323"/>
      <c r="S6" s="323"/>
      <c r="T6" s="5"/>
      <c r="U6" s="5"/>
      <c r="V6" s="5"/>
      <c r="W6" s="5"/>
      <c r="X6" s="5"/>
    </row>
    <row r="7" spans="2:26" ht="19.5" customHeight="1">
      <c r="B7" s="305" t="str">
        <f>세입!B7</f>
        <v>보조금수입</v>
      </c>
      <c r="C7" s="307" t="s">
        <v>99</v>
      </c>
      <c r="D7" s="307"/>
      <c r="E7" s="145">
        <f>SUM(E8:E9)</f>
        <v>147490000</v>
      </c>
      <c r="F7" s="145">
        <f t="shared" ref="F7" si="0">SUM(F8:F9)</f>
        <v>148320000</v>
      </c>
      <c r="G7" s="146">
        <f>F7-E7</f>
        <v>830000</v>
      </c>
      <c r="H7" s="147">
        <f>F7/E7*100-100</f>
        <v>0.56275001695030369</v>
      </c>
      <c r="I7" s="343" t="str">
        <f>세출!B6</f>
        <v>사무비</v>
      </c>
      <c r="J7" s="325" t="s">
        <v>99</v>
      </c>
      <c r="K7" s="325"/>
      <c r="L7" s="145">
        <f>SUM(L8,L14,L17)</f>
        <v>129475750</v>
      </c>
      <c r="M7" s="145">
        <f>SUM(M8,M14,M17)</f>
        <v>137630560</v>
      </c>
      <c r="N7" s="145">
        <f t="shared" ref="N7:N40" si="1">M7-L7</f>
        <v>8154810</v>
      </c>
      <c r="O7" s="147">
        <f>M7/L7*100-100</f>
        <v>6.2983299961575767</v>
      </c>
      <c r="P7" s="5"/>
      <c r="Q7" s="5"/>
      <c r="R7" s="5"/>
      <c r="S7" s="5"/>
      <c r="T7" s="5"/>
      <c r="U7" s="5"/>
      <c r="V7" s="5"/>
      <c r="W7" s="5"/>
      <c r="X7" s="5"/>
    </row>
    <row r="8" spans="2:26" ht="19.5" customHeight="1">
      <c r="B8" s="341"/>
      <c r="C8" s="290" t="str">
        <f>세입!C7</f>
        <v>보조금수입</v>
      </c>
      <c r="D8" s="142" t="str">
        <f>세입!D8</f>
        <v>경상보조금수입</v>
      </c>
      <c r="E8" s="141">
        <f>+세입!E8</f>
        <v>143170000</v>
      </c>
      <c r="F8" s="141">
        <f>+세입!F8</f>
        <v>144000000</v>
      </c>
      <c r="G8" s="148">
        <f>F8-E8</f>
        <v>830000</v>
      </c>
      <c r="H8" s="149">
        <f t="shared" ref="H8:H20" si="2">F8/E8*100-100</f>
        <v>0.57973039044492225</v>
      </c>
      <c r="I8" s="294"/>
      <c r="J8" s="299" t="s">
        <v>191</v>
      </c>
      <c r="K8" s="142" t="s">
        <v>192</v>
      </c>
      <c r="L8" s="141">
        <f>SUM(L9:L13)</f>
        <v>110345750</v>
      </c>
      <c r="M8" s="141">
        <f>SUM(M9:M13)</f>
        <v>117890560</v>
      </c>
      <c r="N8" s="145">
        <f t="shared" si="1"/>
        <v>7544810</v>
      </c>
      <c r="O8" s="150">
        <f t="shared" ref="O8:O58" si="3">M8/L8*100-100</f>
        <v>6.8374269058844703</v>
      </c>
      <c r="P8" s="5"/>
      <c r="Q8" s="5"/>
      <c r="R8" s="5"/>
      <c r="S8" s="5"/>
      <c r="T8" s="5"/>
      <c r="U8" s="5"/>
      <c r="V8" s="5"/>
      <c r="W8" s="5"/>
      <c r="X8" s="5"/>
    </row>
    <row r="9" spans="2:26" ht="19.5" customHeight="1">
      <c r="B9" s="341"/>
      <c r="C9" s="290"/>
      <c r="D9" s="142" t="str">
        <f>세입!D11</f>
        <v>종사자수당보조금</v>
      </c>
      <c r="E9" s="141">
        <f>세입!E11</f>
        <v>4320000</v>
      </c>
      <c r="F9" s="141">
        <f>세입!F11</f>
        <v>4320000</v>
      </c>
      <c r="G9" s="148">
        <f t="shared" ref="G9:G11" si="4">F9-E9</f>
        <v>0</v>
      </c>
      <c r="H9" s="149">
        <f t="shared" si="2"/>
        <v>0</v>
      </c>
      <c r="I9" s="294"/>
      <c r="J9" s="299"/>
      <c r="K9" s="142" t="str">
        <f>세출!D8</f>
        <v>급  여</v>
      </c>
      <c r="L9" s="141">
        <f>세출!E8</f>
        <v>70697990</v>
      </c>
      <c r="M9" s="141">
        <f>세출!F8</f>
        <v>74054280</v>
      </c>
      <c r="N9" s="145">
        <f t="shared" si="1"/>
        <v>3356290</v>
      </c>
      <c r="O9" s="150">
        <f>M9/L9*100-100</f>
        <v>4.7473626902264243</v>
      </c>
      <c r="P9" s="5"/>
      <c r="Q9" s="5"/>
      <c r="R9" s="5"/>
      <c r="S9" s="5"/>
      <c r="T9" s="5"/>
      <c r="U9" s="5"/>
      <c r="V9" s="5"/>
      <c r="W9" s="5"/>
      <c r="X9" s="5"/>
    </row>
    <row r="10" spans="2:26" ht="19.5" customHeight="1">
      <c r="B10" s="341" t="str">
        <f>세입!B12</f>
        <v>후원금수입</v>
      </c>
      <c r="C10" s="290" t="s">
        <v>99</v>
      </c>
      <c r="D10" s="290"/>
      <c r="E10" s="140">
        <f>E11+E12</f>
        <v>15500000</v>
      </c>
      <c r="F10" s="140">
        <f>F11+F12</f>
        <v>16000000</v>
      </c>
      <c r="G10" s="148">
        <f>F10-E10</f>
        <v>500000</v>
      </c>
      <c r="H10" s="149">
        <f t="shared" si="2"/>
        <v>3.2258064516128968</v>
      </c>
      <c r="I10" s="294"/>
      <c r="J10" s="299"/>
      <c r="K10" s="142" t="str">
        <f>세출!D13</f>
        <v>제수당</v>
      </c>
      <c r="L10" s="141">
        <f>세출!E13</f>
        <v>22799730</v>
      </c>
      <c r="M10" s="141">
        <f>세출!F13</f>
        <v>25046520</v>
      </c>
      <c r="N10" s="145">
        <f t="shared" si="1"/>
        <v>2246790</v>
      </c>
      <c r="O10" s="150">
        <f>M10/L10*100-100</f>
        <v>9.8544588028016022</v>
      </c>
      <c r="P10" s="5"/>
      <c r="Q10" s="5"/>
      <c r="R10" s="5"/>
      <c r="S10" s="5"/>
      <c r="T10" s="5"/>
      <c r="U10" s="5"/>
      <c r="V10" s="5"/>
      <c r="W10" s="5"/>
      <c r="X10" s="5"/>
    </row>
    <row r="11" spans="2:26" ht="19.5" customHeight="1">
      <c r="B11" s="341"/>
      <c r="C11" s="290" t="s">
        <v>189</v>
      </c>
      <c r="D11" s="142" t="str">
        <f>세입!D13</f>
        <v>지정후원금</v>
      </c>
      <c r="E11" s="140">
        <f>세입!E13</f>
        <v>500000</v>
      </c>
      <c r="F11" s="140">
        <f>세입!F13</f>
        <v>1000000</v>
      </c>
      <c r="G11" s="148">
        <f t="shared" si="4"/>
        <v>500000</v>
      </c>
      <c r="H11" s="149">
        <f t="shared" si="2"/>
        <v>100</v>
      </c>
      <c r="I11" s="294"/>
      <c r="J11" s="299"/>
      <c r="K11" s="142" t="str">
        <f>세출!D31</f>
        <v>퇴직금 및 퇴직적립금</v>
      </c>
      <c r="L11" s="141">
        <f>세출!E31</f>
        <v>7791470</v>
      </c>
      <c r="M11" s="141">
        <f>세출!F31</f>
        <v>8258400</v>
      </c>
      <c r="N11" s="145">
        <f t="shared" si="1"/>
        <v>466930</v>
      </c>
      <c r="O11" s="150">
        <f t="shared" ref="O11:O40" si="5">M11/L11*100-100</f>
        <v>5.9928357549987368</v>
      </c>
      <c r="P11" s="5"/>
      <c r="Q11" s="5"/>
      <c r="R11" s="5"/>
      <c r="S11" s="5"/>
      <c r="T11" s="5"/>
      <c r="U11" s="5"/>
      <c r="V11" s="5"/>
      <c r="W11" s="5"/>
      <c r="X11" s="5"/>
    </row>
    <row r="12" spans="2:26" ht="19.5" customHeight="1">
      <c r="B12" s="341"/>
      <c r="C12" s="290"/>
      <c r="D12" s="142" t="str">
        <f>세입!D15</f>
        <v>비지정후원금</v>
      </c>
      <c r="E12" s="140">
        <f>세입!E15</f>
        <v>15000000</v>
      </c>
      <c r="F12" s="140">
        <f>세입!F15</f>
        <v>15000000</v>
      </c>
      <c r="G12" s="148">
        <f t="shared" ref="G12:G20" si="6">F12-E12</f>
        <v>0</v>
      </c>
      <c r="H12" s="149">
        <f t="shared" si="2"/>
        <v>0</v>
      </c>
      <c r="I12" s="294"/>
      <c r="J12" s="299"/>
      <c r="K12" s="142" t="str">
        <f>세출!D33</f>
        <v>사회보험부담금</v>
      </c>
      <c r="L12" s="141">
        <f>세출!E33</f>
        <v>8156560</v>
      </c>
      <c r="M12" s="141">
        <f>세출!F33</f>
        <v>9151360</v>
      </c>
      <c r="N12" s="145">
        <f t="shared" si="1"/>
        <v>994800</v>
      </c>
      <c r="O12" s="150">
        <f t="shared" si="5"/>
        <v>12.196318055650906</v>
      </c>
      <c r="P12" s="5"/>
      <c r="Q12" s="5"/>
      <c r="R12" s="5"/>
      <c r="S12" s="5"/>
      <c r="T12" s="5"/>
      <c r="U12" s="5"/>
      <c r="V12" s="5"/>
      <c r="W12" s="5"/>
      <c r="X12" s="5"/>
    </row>
    <row r="13" spans="2:26" ht="19.5" customHeight="1">
      <c r="B13" s="303" t="str">
        <f>세입!B16</f>
        <v>전입금</v>
      </c>
      <c r="C13" s="291" t="s">
        <v>99</v>
      </c>
      <c r="D13" s="292"/>
      <c r="E13" s="140">
        <f>E14</f>
        <v>2700000</v>
      </c>
      <c r="F13" s="140">
        <f>F14</f>
        <v>4800000</v>
      </c>
      <c r="G13" s="148">
        <f t="shared" si="6"/>
        <v>2100000</v>
      </c>
      <c r="H13" s="149">
        <f t="shared" si="2"/>
        <v>77.777777777777771</v>
      </c>
      <c r="I13" s="294"/>
      <c r="J13" s="299"/>
      <c r="K13" s="142" t="str">
        <f>세출!D39</f>
        <v>기타후생경비</v>
      </c>
      <c r="L13" s="141">
        <f>세출!E39</f>
        <v>900000</v>
      </c>
      <c r="M13" s="141">
        <f>세출!F39</f>
        <v>1380000</v>
      </c>
      <c r="N13" s="145">
        <f t="shared" si="1"/>
        <v>480000</v>
      </c>
      <c r="O13" s="150">
        <f t="shared" si="5"/>
        <v>53.333333333333343</v>
      </c>
      <c r="P13" s="5"/>
      <c r="Q13" s="5"/>
      <c r="R13" s="5"/>
      <c r="S13" s="5"/>
      <c r="T13" s="5"/>
      <c r="U13" s="5"/>
      <c r="V13" s="5"/>
      <c r="W13" s="5"/>
      <c r="X13" s="5"/>
    </row>
    <row r="14" spans="2:26" ht="19.5" customHeight="1">
      <c r="B14" s="305"/>
      <c r="C14" s="142" t="s">
        <v>190</v>
      </c>
      <c r="D14" s="142" t="s">
        <v>190</v>
      </c>
      <c r="E14" s="141">
        <f>세입!E17</f>
        <v>2700000</v>
      </c>
      <c r="F14" s="141">
        <f>세입!F17</f>
        <v>4800000</v>
      </c>
      <c r="G14" s="148">
        <f t="shared" si="6"/>
        <v>2100000</v>
      </c>
      <c r="H14" s="149">
        <f t="shared" si="2"/>
        <v>77.777777777777771</v>
      </c>
      <c r="I14" s="294"/>
      <c r="J14" s="299" t="s">
        <v>131</v>
      </c>
      <c r="K14" s="142" t="s">
        <v>192</v>
      </c>
      <c r="L14" s="141">
        <f>SUM(L15:L16)</f>
        <v>440000</v>
      </c>
      <c r="M14" s="141">
        <f>SUM(M15:M16)</f>
        <v>800000</v>
      </c>
      <c r="N14" s="145">
        <f t="shared" si="1"/>
        <v>360000</v>
      </c>
      <c r="O14" s="150">
        <f t="shared" si="5"/>
        <v>81.818181818181813</v>
      </c>
      <c r="P14" s="5"/>
      <c r="Q14" s="5"/>
      <c r="R14" s="5"/>
      <c r="S14" s="5"/>
      <c r="T14" s="5"/>
      <c r="U14" s="5"/>
      <c r="V14" s="5"/>
      <c r="W14" s="5"/>
      <c r="X14" s="5"/>
    </row>
    <row r="15" spans="2:26" ht="19.5" customHeight="1">
      <c r="B15" s="303" t="str">
        <f>세입!B18</f>
        <v>이월금</v>
      </c>
      <c r="C15" s="291" t="s">
        <v>99</v>
      </c>
      <c r="D15" s="292"/>
      <c r="E15" s="141">
        <f>SUM(E16:E17)</f>
        <v>5770413</v>
      </c>
      <c r="F15" s="141">
        <f>SUM(F16:F17)</f>
        <v>7600000</v>
      </c>
      <c r="G15" s="148">
        <f t="shared" si="6"/>
        <v>1829587</v>
      </c>
      <c r="H15" s="149">
        <f t="shared" si="2"/>
        <v>31.706344069306653</v>
      </c>
      <c r="I15" s="294"/>
      <c r="J15" s="299"/>
      <c r="K15" s="142" t="str">
        <f>세출!D41</f>
        <v>기관운영비</v>
      </c>
      <c r="L15" s="141">
        <f>세출!E41</f>
        <v>340000</v>
      </c>
      <c r="M15" s="141">
        <f>세출!F41</f>
        <v>400000</v>
      </c>
      <c r="N15" s="145">
        <f t="shared" si="1"/>
        <v>60000</v>
      </c>
      <c r="O15" s="150">
        <f t="shared" si="5"/>
        <v>17.64705882352942</v>
      </c>
      <c r="P15" s="5"/>
      <c r="Q15" s="5"/>
      <c r="R15" s="5"/>
      <c r="S15" s="5"/>
      <c r="T15" s="5"/>
      <c r="U15" s="5"/>
      <c r="V15" s="5"/>
      <c r="W15" s="5"/>
      <c r="X15" s="5"/>
    </row>
    <row r="16" spans="2:26" s="17" customFormat="1" ht="19.5" customHeight="1">
      <c r="B16" s="304"/>
      <c r="C16" s="306" t="s">
        <v>128</v>
      </c>
      <c r="D16" s="142" t="str">
        <f>세입!D19</f>
        <v>전년도 이월금</v>
      </c>
      <c r="E16" s="141">
        <f>세입!E19</f>
        <v>348281</v>
      </c>
      <c r="F16" s="141">
        <f>세입!F19</f>
        <v>600000</v>
      </c>
      <c r="G16" s="148">
        <f t="shared" si="6"/>
        <v>251719</v>
      </c>
      <c r="H16" s="149">
        <f t="shared" si="2"/>
        <v>72.27468624472769</v>
      </c>
      <c r="I16" s="294"/>
      <c r="J16" s="299"/>
      <c r="K16" s="142" t="str">
        <f>세출!D42</f>
        <v>회의비</v>
      </c>
      <c r="L16" s="141">
        <f>세출!E42</f>
        <v>100000</v>
      </c>
      <c r="M16" s="141">
        <f>세출!F42</f>
        <v>400000</v>
      </c>
      <c r="N16" s="145">
        <f t="shared" si="1"/>
        <v>300000</v>
      </c>
      <c r="O16" s="150">
        <f t="shared" si="5"/>
        <v>300</v>
      </c>
      <c r="P16" s="5"/>
      <c r="Q16" s="5"/>
      <c r="R16" s="5"/>
      <c r="S16" s="5"/>
      <c r="T16" s="5"/>
      <c r="U16" s="5"/>
      <c r="V16" s="5"/>
      <c r="W16" s="5"/>
      <c r="X16" s="5"/>
      <c r="Z16" s="27"/>
    </row>
    <row r="17" spans="2:26" s="17" customFormat="1" ht="19.5" customHeight="1">
      <c r="B17" s="305"/>
      <c r="C17" s="307"/>
      <c r="D17" s="142" t="str">
        <f>세입!D20</f>
        <v>전년도이월금(후원금)</v>
      </c>
      <c r="E17" s="141">
        <f>세입!E20</f>
        <v>5422132</v>
      </c>
      <c r="F17" s="141">
        <f>세입!F20</f>
        <v>7000000</v>
      </c>
      <c r="G17" s="148">
        <f t="shared" si="6"/>
        <v>1577868</v>
      </c>
      <c r="H17" s="149">
        <f t="shared" si="2"/>
        <v>29.100508803548138</v>
      </c>
      <c r="I17" s="294"/>
      <c r="J17" s="296" t="s">
        <v>132</v>
      </c>
      <c r="K17" s="142" t="s">
        <v>193</v>
      </c>
      <c r="L17" s="141">
        <f>SUM(L18:L22)</f>
        <v>18690000</v>
      </c>
      <c r="M17" s="141">
        <f>SUM(M18:M22)</f>
        <v>18940000</v>
      </c>
      <c r="N17" s="145">
        <f t="shared" si="1"/>
        <v>250000</v>
      </c>
      <c r="O17" s="150">
        <f t="shared" si="5"/>
        <v>1.337613697164258</v>
      </c>
      <c r="P17" s="5"/>
      <c r="Q17" s="5"/>
      <c r="R17" s="5"/>
      <c r="S17" s="5"/>
      <c r="T17" s="5"/>
      <c r="U17" s="5"/>
      <c r="V17" s="5"/>
      <c r="W17" s="5"/>
      <c r="X17" s="5"/>
      <c r="Z17" s="27"/>
    </row>
    <row r="18" spans="2:26" s="17" customFormat="1" ht="19.5" customHeight="1">
      <c r="B18" s="177" t="str">
        <f>세입!B21</f>
        <v>잡수입</v>
      </c>
      <c r="C18" s="291" t="s">
        <v>99</v>
      </c>
      <c r="D18" s="292"/>
      <c r="E18" s="141">
        <f>SUM(E19:E20)</f>
        <v>1509587</v>
      </c>
      <c r="F18" s="141">
        <f>SUM(F19:F20)</f>
        <v>1350000</v>
      </c>
      <c r="G18" s="148">
        <f t="shared" si="6"/>
        <v>-159587</v>
      </c>
      <c r="H18" s="149">
        <f t="shared" si="2"/>
        <v>-10.571566925258367</v>
      </c>
      <c r="I18" s="294"/>
      <c r="J18" s="297"/>
      <c r="K18" s="142" t="str">
        <f>세출!D44</f>
        <v>여  비</v>
      </c>
      <c r="L18" s="141">
        <f>세출!E44</f>
        <v>400000</v>
      </c>
      <c r="M18" s="141">
        <f>세출!F44</f>
        <v>900000</v>
      </c>
      <c r="N18" s="145">
        <f t="shared" si="1"/>
        <v>500000</v>
      </c>
      <c r="O18" s="150">
        <f t="shared" si="5"/>
        <v>125</v>
      </c>
      <c r="P18" s="5"/>
      <c r="Q18" s="5"/>
      <c r="R18" s="5"/>
      <c r="S18" s="5"/>
      <c r="T18" s="5"/>
      <c r="U18" s="5"/>
      <c r="V18" s="5"/>
      <c r="W18" s="5"/>
      <c r="X18" s="5"/>
      <c r="Z18" s="27"/>
    </row>
    <row r="19" spans="2:26" s="17" customFormat="1" ht="19.5" customHeight="1">
      <c r="B19" s="177"/>
      <c r="C19" s="142" t="str">
        <f>세입!C21</f>
        <v>잡수입</v>
      </c>
      <c r="D19" s="142" t="str">
        <f>세입!D22</f>
        <v>기타예금이자수입</v>
      </c>
      <c r="E19" s="141">
        <f>세입!E22</f>
        <v>29587</v>
      </c>
      <c r="F19" s="141">
        <f>세입!F22</f>
        <v>30000</v>
      </c>
      <c r="G19" s="148">
        <f t="shared" si="6"/>
        <v>413</v>
      </c>
      <c r="H19" s="149">
        <f t="shared" si="2"/>
        <v>1.3958833271369144</v>
      </c>
      <c r="I19" s="294"/>
      <c r="J19" s="297"/>
      <c r="K19" s="142" t="str">
        <f>세출!D45</f>
        <v>수용비및수수료</v>
      </c>
      <c r="L19" s="141">
        <f>세출!E45</f>
        <v>7350000</v>
      </c>
      <c r="M19" s="141">
        <f>세출!F45</f>
        <v>6000000</v>
      </c>
      <c r="N19" s="145">
        <f t="shared" si="1"/>
        <v>-1350000</v>
      </c>
      <c r="O19" s="150">
        <f t="shared" si="5"/>
        <v>-18.367346938775512</v>
      </c>
      <c r="P19" s="5"/>
      <c r="Q19" s="5"/>
      <c r="R19" s="5"/>
      <c r="S19" s="5"/>
      <c r="T19" s="5"/>
      <c r="U19" s="5"/>
      <c r="V19" s="5"/>
      <c r="W19" s="5"/>
      <c r="X19" s="5"/>
      <c r="Z19" s="27"/>
    </row>
    <row r="20" spans="2:26" s="17" customFormat="1" ht="19.5" customHeight="1">
      <c r="B20" s="177"/>
      <c r="C20" s="142"/>
      <c r="D20" s="142" t="str">
        <f>세입!D23</f>
        <v>기타잡수입</v>
      </c>
      <c r="E20" s="141">
        <f>세입!E23</f>
        <v>1480000</v>
      </c>
      <c r="F20" s="141">
        <f>세입!F23</f>
        <v>1320000</v>
      </c>
      <c r="G20" s="148">
        <f t="shared" si="6"/>
        <v>-160000</v>
      </c>
      <c r="H20" s="149">
        <f t="shared" si="2"/>
        <v>-10.810810810810807</v>
      </c>
      <c r="I20" s="294"/>
      <c r="J20" s="297"/>
      <c r="K20" s="142" t="str">
        <f>세출!D46</f>
        <v>공공요금</v>
      </c>
      <c r="L20" s="141">
        <f>세출!E46</f>
        <v>4660000</v>
      </c>
      <c r="M20" s="141">
        <f>세출!F46</f>
        <v>5640000</v>
      </c>
      <c r="N20" s="145">
        <f t="shared" si="1"/>
        <v>980000</v>
      </c>
      <c r="O20" s="150">
        <f t="shared" si="5"/>
        <v>21.030042918454939</v>
      </c>
      <c r="P20" s="5"/>
      <c r="Q20" s="5"/>
      <c r="R20" s="5"/>
      <c r="S20" s="5"/>
      <c r="T20" s="5"/>
      <c r="U20" s="5"/>
      <c r="V20" s="5"/>
      <c r="W20" s="5"/>
      <c r="X20" s="5"/>
      <c r="Z20" s="27"/>
    </row>
    <row r="21" spans="2:26" s="17" customFormat="1" ht="19.5" customHeight="1">
      <c r="B21" s="123"/>
      <c r="C21" s="122"/>
      <c r="D21" s="8"/>
      <c r="E21" s="141"/>
      <c r="F21" s="141"/>
      <c r="G21" s="148"/>
      <c r="H21" s="149"/>
      <c r="I21" s="294"/>
      <c r="J21" s="297"/>
      <c r="K21" s="142" t="str">
        <f>세출!D51</f>
        <v>제세공과금</v>
      </c>
      <c r="L21" s="141">
        <f>세출!E51</f>
        <v>4200000</v>
      </c>
      <c r="M21" s="141">
        <f>세출!F51</f>
        <v>3800000</v>
      </c>
      <c r="N21" s="145">
        <f t="shared" si="1"/>
        <v>-400000</v>
      </c>
      <c r="O21" s="150">
        <f t="shared" si="5"/>
        <v>-9.5238095238095184</v>
      </c>
      <c r="P21" s="5"/>
      <c r="Q21" s="5"/>
      <c r="R21" s="5"/>
      <c r="S21" s="5"/>
      <c r="T21" s="5"/>
      <c r="U21" s="5"/>
      <c r="V21" s="5"/>
      <c r="W21" s="5"/>
      <c r="X21" s="5"/>
      <c r="Z21" s="27"/>
    </row>
    <row r="22" spans="2:26" s="17" customFormat="1" ht="19.5" customHeight="1">
      <c r="B22" s="123"/>
      <c r="C22" s="122"/>
      <c r="D22" s="8"/>
      <c r="E22" s="141"/>
      <c r="F22" s="141"/>
      <c r="G22" s="148"/>
      <c r="H22" s="149"/>
      <c r="I22" s="295"/>
      <c r="J22" s="298"/>
      <c r="K22" s="178" t="str">
        <f>세출!D55</f>
        <v>차량비</v>
      </c>
      <c r="L22" s="141">
        <f>세출!E55</f>
        <v>2080000</v>
      </c>
      <c r="M22" s="141">
        <f>세출!F55</f>
        <v>2600000</v>
      </c>
      <c r="N22" s="145">
        <f t="shared" si="1"/>
        <v>520000</v>
      </c>
      <c r="O22" s="150">
        <f t="shared" si="5"/>
        <v>25</v>
      </c>
      <c r="P22" s="5"/>
      <c r="Q22" s="5"/>
      <c r="R22" s="5"/>
      <c r="S22" s="5"/>
      <c r="T22" s="5"/>
      <c r="U22" s="5"/>
      <c r="V22" s="5"/>
      <c r="W22" s="5"/>
      <c r="X22" s="5"/>
      <c r="Z22" s="27"/>
    </row>
    <row r="23" spans="2:26" s="17" customFormat="1" ht="19.5" customHeight="1">
      <c r="B23" s="123"/>
      <c r="C23" s="122"/>
      <c r="D23" s="121"/>
      <c r="E23" s="141"/>
      <c r="F23" s="141"/>
      <c r="G23" s="148"/>
      <c r="H23" s="149"/>
      <c r="I23" s="293" t="str">
        <f>세출!B58</f>
        <v>재산조성비</v>
      </c>
      <c r="J23" s="290" t="s">
        <v>194</v>
      </c>
      <c r="K23" s="290"/>
      <c r="L23" s="141">
        <f>L24</f>
        <v>700000</v>
      </c>
      <c r="M23" s="141">
        <f>M24</f>
        <v>700000</v>
      </c>
      <c r="N23" s="145">
        <f t="shared" si="1"/>
        <v>0</v>
      </c>
      <c r="O23" s="150">
        <f t="shared" si="5"/>
        <v>0</v>
      </c>
      <c r="P23" s="5"/>
      <c r="Q23" s="5"/>
      <c r="R23" s="5"/>
      <c r="S23" s="5"/>
      <c r="T23" s="5"/>
      <c r="U23" s="5"/>
      <c r="V23" s="5"/>
      <c r="W23" s="5"/>
      <c r="X23" s="5"/>
      <c r="Z23" s="27"/>
    </row>
    <row r="24" spans="2:26" s="17" customFormat="1" ht="19.5" customHeight="1">
      <c r="B24" s="123"/>
      <c r="C24" s="122"/>
      <c r="D24" s="121"/>
      <c r="E24" s="141"/>
      <c r="F24" s="141"/>
      <c r="G24" s="148"/>
      <c r="H24" s="149"/>
      <c r="I24" s="294"/>
      <c r="J24" s="296" t="s">
        <v>195</v>
      </c>
      <c r="K24" s="142" t="s">
        <v>193</v>
      </c>
      <c r="L24" s="141">
        <f>SUM(L25:L26)</f>
        <v>700000</v>
      </c>
      <c r="M24" s="141">
        <f>SUM(M25:M26)</f>
        <v>700000</v>
      </c>
      <c r="N24" s="145">
        <f t="shared" si="1"/>
        <v>0</v>
      </c>
      <c r="O24" s="150">
        <f t="shared" si="5"/>
        <v>0</v>
      </c>
      <c r="P24" s="5"/>
      <c r="Q24" s="5"/>
      <c r="R24" s="5"/>
      <c r="S24" s="5"/>
      <c r="T24" s="5"/>
      <c r="U24" s="5"/>
      <c r="V24" s="5"/>
      <c r="W24" s="5"/>
      <c r="X24" s="5"/>
      <c r="Z24" s="27"/>
    </row>
    <row r="25" spans="2:26" s="17" customFormat="1" ht="19.5" customHeight="1">
      <c r="B25" s="123"/>
      <c r="C25" s="122"/>
      <c r="D25" s="122"/>
      <c r="E25" s="141"/>
      <c r="F25" s="141"/>
      <c r="G25" s="148"/>
      <c r="H25" s="149"/>
      <c r="I25" s="294"/>
      <c r="J25" s="297"/>
      <c r="K25" s="179" t="str">
        <f>세출!D60</f>
        <v>자산취득비</v>
      </c>
      <c r="L25" s="141">
        <f>세출!E60</f>
        <v>500000</v>
      </c>
      <c r="M25" s="141">
        <f>세출!F60</f>
        <v>500000</v>
      </c>
      <c r="N25" s="145">
        <f t="shared" si="1"/>
        <v>0</v>
      </c>
      <c r="O25" s="150">
        <f t="shared" si="5"/>
        <v>0</v>
      </c>
      <c r="P25" s="5"/>
      <c r="Q25" s="5"/>
      <c r="R25" s="5"/>
      <c r="S25" s="5"/>
      <c r="T25" s="5"/>
      <c r="U25" s="5"/>
      <c r="V25" s="5"/>
      <c r="W25" s="5"/>
      <c r="X25" s="5"/>
      <c r="Z25" s="27"/>
    </row>
    <row r="26" spans="2:26" s="17" customFormat="1" ht="19.5" customHeight="1">
      <c r="B26" s="123"/>
      <c r="C26" s="122"/>
      <c r="D26" s="121"/>
      <c r="E26" s="141"/>
      <c r="F26" s="141"/>
      <c r="G26" s="148"/>
      <c r="H26" s="149"/>
      <c r="I26" s="295"/>
      <c r="J26" s="298"/>
      <c r="K26" s="142" t="str">
        <f>세출!D61</f>
        <v>시설장비유지비</v>
      </c>
      <c r="L26" s="141">
        <f>세출!E61</f>
        <v>200000</v>
      </c>
      <c r="M26" s="141">
        <f>세출!F61</f>
        <v>200000</v>
      </c>
      <c r="N26" s="145">
        <f t="shared" si="1"/>
        <v>0</v>
      </c>
      <c r="O26" s="150">
        <f t="shared" si="5"/>
        <v>0</v>
      </c>
      <c r="P26" s="5"/>
      <c r="Q26" s="5"/>
      <c r="R26" s="5"/>
      <c r="S26" s="5"/>
      <c r="T26" s="5"/>
      <c r="U26" s="5"/>
      <c r="V26" s="5"/>
      <c r="W26" s="5"/>
      <c r="X26" s="5"/>
      <c r="Z26" s="27"/>
    </row>
    <row r="27" spans="2:26" s="17" customFormat="1" ht="19.5" customHeight="1">
      <c r="B27" s="124"/>
      <c r="C27" s="125"/>
      <c r="D27" s="126"/>
      <c r="E27" s="145"/>
      <c r="F27" s="145"/>
      <c r="G27" s="146"/>
      <c r="H27" s="147"/>
      <c r="I27" s="293" t="str">
        <f>세출!B62</f>
        <v>사업비</v>
      </c>
      <c r="J27" s="290" t="s">
        <v>194</v>
      </c>
      <c r="K27" s="290"/>
      <c r="L27" s="141">
        <f>L28+L31+L44+L48+L52</f>
        <v>41980500</v>
      </c>
      <c r="M27" s="141">
        <f>M28+M31+M44+M48+M52</f>
        <v>38892000</v>
      </c>
      <c r="N27" s="145">
        <f t="shared" si="1"/>
        <v>-3088500</v>
      </c>
      <c r="O27" s="150">
        <f t="shared" si="5"/>
        <v>-7.3569871726158595</v>
      </c>
      <c r="P27" s="5"/>
      <c r="Q27" s="5"/>
      <c r="R27" s="5"/>
      <c r="S27" s="5"/>
      <c r="T27" s="5"/>
      <c r="U27" s="5"/>
      <c r="V27" s="5"/>
      <c r="W27" s="5"/>
      <c r="X27" s="5"/>
      <c r="Z27" s="27"/>
    </row>
    <row r="28" spans="2:26" s="17" customFormat="1" ht="19.5" customHeight="1">
      <c r="B28" s="127"/>
      <c r="C28" s="121"/>
      <c r="D28" s="121"/>
      <c r="E28" s="151"/>
      <c r="F28" s="141"/>
      <c r="G28" s="152"/>
      <c r="H28" s="153"/>
      <c r="I28" s="294"/>
      <c r="J28" s="296" t="s">
        <v>196</v>
      </c>
      <c r="K28" s="142" t="s">
        <v>193</v>
      </c>
      <c r="L28" s="141">
        <f>L29</f>
        <v>1320000</v>
      </c>
      <c r="M28" s="141">
        <f>SUM(M29:M30)</f>
        <v>1440000</v>
      </c>
      <c r="N28" s="145">
        <f t="shared" si="1"/>
        <v>120000</v>
      </c>
      <c r="O28" s="150">
        <f t="shared" si="5"/>
        <v>9.0909090909090793</v>
      </c>
      <c r="P28" s="5"/>
      <c r="Q28" s="5"/>
      <c r="R28" s="5"/>
      <c r="S28" s="5"/>
      <c r="T28" s="5"/>
      <c r="U28" s="5"/>
      <c r="V28" s="5"/>
      <c r="W28" s="5"/>
      <c r="X28" s="5"/>
      <c r="Z28" s="27"/>
    </row>
    <row r="29" spans="2:26" s="17" customFormat="1" ht="19.5" customHeight="1">
      <c r="B29" s="127"/>
      <c r="C29" s="121"/>
      <c r="D29" s="121"/>
      <c r="E29" s="151"/>
      <c r="F29" s="141"/>
      <c r="G29" s="152"/>
      <c r="H29" s="153"/>
      <c r="I29" s="294"/>
      <c r="J29" s="297"/>
      <c r="K29" s="241" t="s">
        <v>240</v>
      </c>
      <c r="L29" s="141">
        <f>세출!E64</f>
        <v>1320000</v>
      </c>
      <c r="M29" s="141">
        <f>세출!F64</f>
        <v>0</v>
      </c>
      <c r="N29" s="145">
        <f t="shared" si="1"/>
        <v>-1320000</v>
      </c>
      <c r="O29" s="150">
        <f>M29/L29*100-100</f>
        <v>-100</v>
      </c>
      <c r="P29" s="5"/>
      <c r="Q29" s="5"/>
      <c r="R29" s="5"/>
      <c r="S29" s="5"/>
      <c r="T29" s="5"/>
      <c r="U29" s="5"/>
      <c r="V29" s="5"/>
      <c r="W29" s="5"/>
      <c r="X29" s="5"/>
      <c r="Z29" s="27"/>
    </row>
    <row r="30" spans="2:26" s="17" customFormat="1" ht="19.5" customHeight="1">
      <c r="B30" s="127"/>
      <c r="C30" s="121"/>
      <c r="D30" s="121"/>
      <c r="E30" s="151"/>
      <c r="F30" s="141"/>
      <c r="G30" s="152"/>
      <c r="H30" s="153"/>
      <c r="I30" s="294"/>
      <c r="J30" s="242"/>
      <c r="K30" s="241" t="s">
        <v>241</v>
      </c>
      <c r="L30" s="141">
        <f>세출!E65</f>
        <v>0</v>
      </c>
      <c r="M30" s="141">
        <f>세출!F65</f>
        <v>1440000</v>
      </c>
      <c r="N30" s="145">
        <f t="shared" si="1"/>
        <v>1440000</v>
      </c>
      <c r="O30" s="150">
        <v>0</v>
      </c>
      <c r="P30" s="5"/>
      <c r="Q30" s="5"/>
      <c r="R30" s="5"/>
      <c r="S30" s="5"/>
      <c r="T30" s="5"/>
      <c r="U30" s="5"/>
      <c r="V30" s="5"/>
      <c r="W30" s="5"/>
      <c r="X30" s="5"/>
      <c r="Z30" s="27"/>
    </row>
    <row r="31" spans="2:26" s="17" customFormat="1" ht="19.5" customHeight="1">
      <c r="B31" s="127"/>
      <c r="C31" s="121"/>
      <c r="D31" s="121"/>
      <c r="E31" s="151"/>
      <c r="F31" s="141"/>
      <c r="G31" s="152"/>
      <c r="H31" s="153"/>
      <c r="I31" s="294"/>
      <c r="J31" s="309" t="s">
        <v>197</v>
      </c>
      <c r="K31" s="142" t="s">
        <v>193</v>
      </c>
      <c r="L31" s="141">
        <f>SUM(L32:L40)</f>
        <v>25106500</v>
      </c>
      <c r="M31" s="141">
        <f>SUM(M32:M40)</f>
        <v>19892000</v>
      </c>
      <c r="N31" s="145">
        <f t="shared" si="1"/>
        <v>-5214500</v>
      </c>
      <c r="O31" s="150">
        <f t="shared" si="5"/>
        <v>-20.769521836974491</v>
      </c>
      <c r="P31" s="5"/>
      <c r="Q31" s="18"/>
      <c r="R31" s="18"/>
      <c r="S31" s="18"/>
      <c r="T31" s="31"/>
      <c r="U31" s="31"/>
      <c r="V31" s="31"/>
      <c r="W31" s="6"/>
      <c r="X31" s="5"/>
      <c r="Z31" s="27"/>
    </row>
    <row r="32" spans="2:26" s="17" customFormat="1" ht="19.5" customHeight="1">
      <c r="B32" s="127"/>
      <c r="C32" s="121"/>
      <c r="D32" s="121"/>
      <c r="E32" s="10"/>
      <c r="F32" s="8"/>
      <c r="G32" s="128"/>
      <c r="H32" s="129"/>
      <c r="I32" s="294"/>
      <c r="J32" s="297"/>
      <c r="K32" s="142" t="str">
        <f>세출!D67</f>
        <v>명절생신지원비</v>
      </c>
      <c r="L32" s="141">
        <f>세출!E67</f>
        <v>7000000</v>
      </c>
      <c r="M32" s="141">
        <f>세출!F67</f>
        <v>7000000</v>
      </c>
      <c r="N32" s="145">
        <f t="shared" si="1"/>
        <v>0</v>
      </c>
      <c r="O32" s="150">
        <f t="shared" si="5"/>
        <v>0</v>
      </c>
      <c r="P32" s="5"/>
      <c r="Q32" s="18"/>
      <c r="R32" s="18"/>
      <c r="S32" s="18"/>
      <c r="T32" s="31"/>
      <c r="U32" s="31"/>
      <c r="V32" s="31"/>
      <c r="W32" s="6"/>
      <c r="X32" s="5"/>
      <c r="Z32" s="27"/>
    </row>
    <row r="33" spans="2:26" s="17" customFormat="1" ht="19.5" customHeight="1">
      <c r="B33" s="127"/>
      <c r="C33" s="121"/>
      <c r="D33" s="121"/>
      <c r="E33" s="10"/>
      <c r="F33" s="8"/>
      <c r="G33" s="128"/>
      <c r="H33" s="129"/>
      <c r="I33" s="294"/>
      <c r="J33" s="297"/>
      <c r="K33" s="142" t="str">
        <f>세출!D68</f>
        <v>김장지원비</v>
      </c>
      <c r="L33" s="141">
        <f>세출!E68</f>
        <v>3700000</v>
      </c>
      <c r="M33" s="141">
        <f>세출!F68</f>
        <v>3700000</v>
      </c>
      <c r="N33" s="145">
        <f t="shared" si="1"/>
        <v>0</v>
      </c>
      <c r="O33" s="150">
        <f t="shared" si="5"/>
        <v>0</v>
      </c>
      <c r="P33" s="5"/>
      <c r="Q33" s="18"/>
      <c r="R33" s="18"/>
      <c r="S33" s="18"/>
      <c r="T33" s="31"/>
      <c r="U33" s="31"/>
      <c r="V33" s="31"/>
      <c r="W33" s="6"/>
      <c r="X33" s="5"/>
      <c r="Z33" s="27"/>
    </row>
    <row r="34" spans="2:26" s="17" customFormat="1" ht="19.5" customHeight="1">
      <c r="B34" s="127"/>
      <c r="C34" s="121"/>
      <c r="D34" s="121"/>
      <c r="E34" s="10"/>
      <c r="F34" s="8"/>
      <c r="G34" s="128"/>
      <c r="H34" s="129"/>
      <c r="I34" s="294"/>
      <c r="J34" s="297"/>
      <c r="K34" s="142" t="str">
        <f>세출!D69</f>
        <v>건강관리지원비</v>
      </c>
      <c r="L34" s="141">
        <f>세출!E69</f>
        <v>2832000</v>
      </c>
      <c r="M34" s="141">
        <f>세출!F69</f>
        <v>1600000</v>
      </c>
      <c r="N34" s="145">
        <f t="shared" si="1"/>
        <v>-1232000</v>
      </c>
      <c r="O34" s="150">
        <f t="shared" si="5"/>
        <v>-43.502824858757059</v>
      </c>
      <c r="P34" s="5"/>
      <c r="Q34" s="18"/>
      <c r="R34" s="18"/>
      <c r="S34" s="18"/>
      <c r="T34" s="31"/>
      <c r="U34" s="31"/>
      <c r="V34" s="31"/>
      <c r="W34" s="6"/>
      <c r="X34" s="5"/>
      <c r="Z34" s="27"/>
    </row>
    <row r="35" spans="2:26" s="17" customFormat="1" ht="19.5" customHeight="1">
      <c r="B35" s="127"/>
      <c r="C35" s="121"/>
      <c r="D35" s="121"/>
      <c r="E35" s="10"/>
      <c r="F35" s="8"/>
      <c r="G35" s="128"/>
      <c r="H35" s="129"/>
      <c r="I35" s="294"/>
      <c r="J35" s="297"/>
      <c r="K35" s="142" t="str">
        <f>세출!D72</f>
        <v>이미용지원비</v>
      </c>
      <c r="L35" s="141">
        <f>세출!E72</f>
        <v>80000</v>
      </c>
      <c r="M35" s="141">
        <f>세출!F72</f>
        <v>192000</v>
      </c>
      <c r="N35" s="145">
        <f t="shared" si="1"/>
        <v>112000</v>
      </c>
      <c r="O35" s="150">
        <f t="shared" si="5"/>
        <v>140</v>
      </c>
      <c r="P35" s="5"/>
      <c r="Q35" s="18"/>
      <c r="R35" s="18"/>
      <c r="S35" s="18"/>
      <c r="T35" s="31"/>
      <c r="U35" s="31"/>
      <c r="V35" s="31"/>
      <c r="W35" s="6"/>
      <c r="X35" s="5"/>
      <c r="Z35" s="27"/>
    </row>
    <row r="36" spans="2:26" s="17" customFormat="1" ht="19.5" customHeight="1">
      <c r="B36" s="127"/>
      <c r="C36" s="121"/>
      <c r="D36" s="121"/>
      <c r="E36" s="10"/>
      <c r="F36" s="8"/>
      <c r="G36" s="128"/>
      <c r="H36" s="129"/>
      <c r="I36" s="294"/>
      <c r="J36" s="297"/>
      <c r="K36" s="142" t="str">
        <f>세출!D73</f>
        <v>간식지원비</v>
      </c>
      <c r="L36" s="141">
        <f>세출!E73</f>
        <v>1684000</v>
      </c>
      <c r="M36" s="141">
        <f>세출!F73</f>
        <v>0</v>
      </c>
      <c r="N36" s="145">
        <f t="shared" si="1"/>
        <v>-1684000</v>
      </c>
      <c r="O36" s="150">
        <f t="shared" si="5"/>
        <v>-100</v>
      </c>
      <c r="P36" s="5"/>
      <c r="Q36" s="18"/>
      <c r="R36" s="18"/>
      <c r="S36" s="18"/>
      <c r="T36" s="31"/>
      <c r="U36" s="31"/>
      <c r="V36" s="31"/>
      <c r="W36" s="6"/>
      <c r="X36" s="5"/>
      <c r="Z36" s="27"/>
    </row>
    <row r="37" spans="2:26" s="17" customFormat="1" ht="19.5" customHeight="1">
      <c r="B37" s="127"/>
      <c r="C37" s="121"/>
      <c r="D37" s="121"/>
      <c r="E37" s="10"/>
      <c r="F37" s="8"/>
      <c r="G37" s="128"/>
      <c r="H37" s="129"/>
      <c r="I37" s="294"/>
      <c r="J37" s="297"/>
      <c r="K37" s="142" t="str">
        <f>세출!D74</f>
        <v>생활용품지원비</v>
      </c>
      <c r="L37" s="141">
        <f>세출!E74</f>
        <v>600000</v>
      </c>
      <c r="M37" s="141">
        <f>세출!F74</f>
        <v>400000</v>
      </c>
      <c r="N37" s="145">
        <f t="shared" si="1"/>
        <v>-200000</v>
      </c>
      <c r="O37" s="150">
        <f t="shared" si="5"/>
        <v>-33.333333333333343</v>
      </c>
      <c r="P37" s="5"/>
      <c r="Q37" s="18"/>
      <c r="R37" s="18"/>
      <c r="S37" s="18"/>
      <c r="T37" s="31"/>
      <c r="U37" s="31"/>
      <c r="V37" s="31"/>
      <c r="W37" s="6"/>
      <c r="X37" s="5"/>
      <c r="Z37" s="27"/>
    </row>
    <row r="38" spans="2:26" s="17" customFormat="1" ht="19.5" customHeight="1">
      <c r="B38" s="127"/>
      <c r="C38" s="121"/>
      <c r="D38" s="121"/>
      <c r="E38" s="10"/>
      <c r="F38" s="8"/>
      <c r="G38" s="128"/>
      <c r="H38" s="129"/>
      <c r="I38" s="294"/>
      <c r="J38" s="297"/>
      <c r="K38" s="142" t="str">
        <f>세출!D76</f>
        <v>후원결연지원비</v>
      </c>
      <c r="L38" s="141">
        <f>세출!E76</f>
        <v>2120000</v>
      </c>
      <c r="M38" s="141">
        <f>세출!F76</f>
        <v>2000000</v>
      </c>
      <c r="N38" s="145">
        <f t="shared" si="1"/>
        <v>-120000</v>
      </c>
      <c r="O38" s="150">
        <f t="shared" si="5"/>
        <v>-5.6603773584905639</v>
      </c>
      <c r="P38" s="5"/>
      <c r="Q38" s="18"/>
      <c r="R38" s="18"/>
      <c r="S38" s="18"/>
      <c r="T38" s="31"/>
      <c r="U38" s="31"/>
      <c r="V38" s="31"/>
      <c r="W38" s="6"/>
      <c r="X38" s="5"/>
      <c r="Z38" s="27"/>
    </row>
    <row r="39" spans="2:26" ht="19.5" customHeight="1">
      <c r="B39" s="127"/>
      <c r="C39" s="121"/>
      <c r="D39" s="121"/>
      <c r="E39" s="10"/>
      <c r="F39" s="8"/>
      <c r="G39" s="128"/>
      <c r="H39" s="129"/>
      <c r="I39" s="294"/>
      <c r="J39" s="297"/>
      <c r="K39" s="142" t="str">
        <f>세출!D79</f>
        <v>교육지원비</v>
      </c>
      <c r="L39" s="141">
        <f>세출!E79</f>
        <v>0</v>
      </c>
      <c r="M39" s="141">
        <f>세출!F79</f>
        <v>0</v>
      </c>
      <c r="N39" s="145">
        <f t="shared" si="1"/>
        <v>0</v>
      </c>
      <c r="O39" s="150">
        <v>0</v>
      </c>
      <c r="P39" s="5"/>
      <c r="Q39" s="5"/>
      <c r="R39" s="5"/>
      <c r="S39" s="5"/>
      <c r="T39" s="5"/>
      <c r="U39" s="5"/>
      <c r="V39" s="5"/>
      <c r="W39" s="5"/>
      <c r="X39" s="5"/>
    </row>
    <row r="40" spans="2:26" ht="19.5" customHeight="1" thickBot="1">
      <c r="B40" s="130"/>
      <c r="C40" s="131"/>
      <c r="D40" s="131"/>
      <c r="E40" s="44"/>
      <c r="F40" s="132"/>
      <c r="G40" s="133"/>
      <c r="H40" s="134"/>
      <c r="I40" s="301"/>
      <c r="J40" s="310"/>
      <c r="K40" s="180" t="str">
        <f>세출!D80</f>
        <v>긴급지원비</v>
      </c>
      <c r="L40" s="156">
        <f>세출!E80</f>
        <v>7090500</v>
      </c>
      <c r="M40" s="156">
        <f>세출!F80</f>
        <v>5000000</v>
      </c>
      <c r="N40" s="156">
        <f t="shared" si="1"/>
        <v>-2090500</v>
      </c>
      <c r="O40" s="203">
        <f t="shared" si="5"/>
        <v>-29.483111205133625</v>
      </c>
    </row>
    <row r="41" spans="2:26" ht="15" customHeight="1">
      <c r="B41" s="321" t="s">
        <v>32</v>
      </c>
      <c r="C41" s="322"/>
      <c r="D41" s="322"/>
      <c r="E41" s="322"/>
      <c r="F41" s="322"/>
      <c r="G41" s="322"/>
      <c r="H41" s="322"/>
      <c r="I41" s="322" t="s">
        <v>33</v>
      </c>
      <c r="J41" s="322"/>
      <c r="K41" s="322"/>
      <c r="L41" s="322"/>
      <c r="M41" s="322"/>
      <c r="N41" s="322"/>
      <c r="O41" s="336"/>
      <c r="P41" s="5"/>
      <c r="Q41" s="323"/>
      <c r="R41" s="323"/>
      <c r="S41" s="323"/>
      <c r="T41" s="324"/>
      <c r="U41" s="324"/>
      <c r="V41" s="323"/>
      <c r="W41" s="323"/>
      <c r="X41" s="5"/>
    </row>
    <row r="42" spans="2:26" ht="20.25" customHeight="1">
      <c r="B42" s="326" t="s">
        <v>2</v>
      </c>
      <c r="C42" s="300" t="s">
        <v>3</v>
      </c>
      <c r="D42" s="300" t="s">
        <v>4</v>
      </c>
      <c r="E42" s="331" t="s">
        <v>230</v>
      </c>
      <c r="F42" s="331" t="s">
        <v>231</v>
      </c>
      <c r="G42" s="300" t="s">
        <v>5</v>
      </c>
      <c r="H42" s="300"/>
      <c r="I42" s="300" t="s">
        <v>2</v>
      </c>
      <c r="J42" s="300" t="s">
        <v>3</v>
      </c>
      <c r="K42" s="300" t="s">
        <v>4</v>
      </c>
      <c r="L42" s="331" t="s">
        <v>230</v>
      </c>
      <c r="M42" s="331" t="s">
        <v>231</v>
      </c>
      <c r="N42" s="329" t="s">
        <v>5</v>
      </c>
      <c r="O42" s="330"/>
      <c r="P42" s="5"/>
      <c r="Q42" s="284"/>
      <c r="R42" s="284"/>
      <c r="S42" s="284"/>
      <c r="T42" s="284"/>
      <c r="U42" s="284"/>
      <c r="V42" s="86"/>
      <c r="W42" s="86"/>
      <c r="X42" s="5"/>
    </row>
    <row r="43" spans="2:26" ht="26.25" customHeight="1" thickBot="1">
      <c r="B43" s="327"/>
      <c r="C43" s="328"/>
      <c r="D43" s="328"/>
      <c r="E43" s="328"/>
      <c r="F43" s="328"/>
      <c r="G43" s="30" t="s">
        <v>6</v>
      </c>
      <c r="H43" s="97" t="s">
        <v>7</v>
      </c>
      <c r="I43" s="328"/>
      <c r="J43" s="328"/>
      <c r="K43" s="328"/>
      <c r="L43" s="328"/>
      <c r="M43" s="328"/>
      <c r="N43" s="136" t="s">
        <v>6</v>
      </c>
      <c r="O43" s="137" t="s">
        <v>7</v>
      </c>
      <c r="P43" s="5"/>
      <c r="Q43" s="77"/>
      <c r="R43" s="77"/>
      <c r="S43" s="77"/>
      <c r="T43" s="5"/>
      <c r="U43" s="5"/>
      <c r="V43" s="5"/>
      <c r="W43" s="5"/>
      <c r="X43" s="5"/>
    </row>
    <row r="44" spans="2:26" ht="17.25" customHeight="1">
      <c r="B44" s="195"/>
      <c r="C44" s="196"/>
      <c r="D44" s="196"/>
      <c r="E44" s="197"/>
      <c r="F44" s="198"/>
      <c r="G44" s="199"/>
      <c r="H44" s="200"/>
      <c r="I44" s="302" t="s">
        <v>179</v>
      </c>
      <c r="J44" s="344" t="s">
        <v>134</v>
      </c>
      <c r="K44" s="196" t="s">
        <v>192</v>
      </c>
      <c r="L44" s="201">
        <f>SUM(L45:L47)</f>
        <v>2224000</v>
      </c>
      <c r="M44" s="201">
        <f>SUM(M45:M47)</f>
        <v>3300000</v>
      </c>
      <c r="N44" s="201">
        <f>M44-L44</f>
        <v>1076000</v>
      </c>
      <c r="O44" s="202">
        <f t="shared" si="3"/>
        <v>48.381294964028797</v>
      </c>
    </row>
    <row r="45" spans="2:26" ht="16.5" customHeight="1">
      <c r="B45" s="157"/>
      <c r="C45" s="158"/>
      <c r="D45" s="158"/>
      <c r="E45" s="159"/>
      <c r="F45" s="160"/>
      <c r="G45" s="161"/>
      <c r="H45" s="162"/>
      <c r="I45" s="286"/>
      <c r="J45" s="345"/>
      <c r="K45" s="158" t="str">
        <f>세출!D84</f>
        <v>집수리지원비</v>
      </c>
      <c r="L45" s="141">
        <f>세출!E84</f>
        <v>400000</v>
      </c>
      <c r="M45" s="141">
        <f>세출!F84</f>
        <v>0</v>
      </c>
      <c r="N45" s="141">
        <f t="shared" ref="N45:N55" si="7">M45-L45</f>
        <v>-400000</v>
      </c>
      <c r="O45" s="155">
        <f t="shared" si="3"/>
        <v>-100</v>
      </c>
    </row>
    <row r="46" spans="2:26" ht="16.5" customHeight="1">
      <c r="B46" s="163"/>
      <c r="C46" s="164"/>
      <c r="D46" s="164"/>
      <c r="E46" s="165"/>
      <c r="F46" s="166"/>
      <c r="G46" s="167"/>
      <c r="H46" s="168"/>
      <c r="I46" s="286"/>
      <c r="J46" s="345"/>
      <c r="K46" s="158" t="s">
        <v>251</v>
      </c>
      <c r="L46" s="141">
        <v>0</v>
      </c>
      <c r="M46" s="141">
        <f>세출!F85</f>
        <v>1900000</v>
      </c>
      <c r="N46" s="141">
        <f t="shared" si="7"/>
        <v>1900000</v>
      </c>
      <c r="O46" s="155">
        <v>0</v>
      </c>
    </row>
    <row r="47" spans="2:26" ht="16.5" customHeight="1">
      <c r="B47" s="163"/>
      <c r="C47" s="164"/>
      <c r="D47" s="164"/>
      <c r="E47" s="165"/>
      <c r="F47" s="166"/>
      <c r="G47" s="167"/>
      <c r="H47" s="168"/>
      <c r="I47" s="286"/>
      <c r="J47" s="346"/>
      <c r="K47" s="158" t="str">
        <f>세출!D88</f>
        <v>방역지원비</v>
      </c>
      <c r="L47" s="141">
        <f>세출!E88</f>
        <v>1824000</v>
      </c>
      <c r="M47" s="141">
        <f>세출!F88</f>
        <v>1400000</v>
      </c>
      <c r="N47" s="141">
        <f t="shared" si="7"/>
        <v>-424000</v>
      </c>
      <c r="O47" s="155">
        <f t="shared" si="3"/>
        <v>-23.245614035087712</v>
      </c>
    </row>
    <row r="48" spans="2:26" s="17" customFormat="1" ht="16.5" customHeight="1">
      <c r="B48" s="157"/>
      <c r="C48" s="158"/>
      <c r="D48" s="158"/>
      <c r="E48" s="159"/>
      <c r="F48" s="160"/>
      <c r="G48" s="161"/>
      <c r="H48" s="162"/>
      <c r="I48" s="286"/>
      <c r="J48" s="313" t="s">
        <v>135</v>
      </c>
      <c r="K48" s="158" t="s">
        <v>192</v>
      </c>
      <c r="L48" s="141">
        <f>SUM(L49:L51)</f>
        <v>6580000</v>
      </c>
      <c r="M48" s="141">
        <f>SUM(M49:M51)</f>
        <v>7300000</v>
      </c>
      <c r="N48" s="141">
        <f t="shared" si="7"/>
        <v>720000</v>
      </c>
      <c r="O48" s="155">
        <f t="shared" si="3"/>
        <v>10.942249240121569</v>
      </c>
      <c r="P48" s="5"/>
      <c r="Q48" s="18"/>
      <c r="R48" s="18"/>
      <c r="S48" s="18"/>
      <c r="T48" s="31"/>
      <c r="U48" s="31"/>
      <c r="V48" s="31"/>
      <c r="W48" s="6"/>
      <c r="X48" s="5"/>
      <c r="Z48" s="27"/>
    </row>
    <row r="49" spans="2:26" s="17" customFormat="1" ht="16.5" customHeight="1">
      <c r="B49" s="157"/>
      <c r="C49" s="158"/>
      <c r="D49" s="158"/>
      <c r="E49" s="159"/>
      <c r="F49" s="160"/>
      <c r="G49" s="161"/>
      <c r="H49" s="162"/>
      <c r="I49" s="286"/>
      <c r="J49" s="314"/>
      <c r="K49" s="158" t="str">
        <f>세출!D92</f>
        <v>나들이지원비</v>
      </c>
      <c r="L49" s="141">
        <f>세출!E92</f>
        <v>4600000</v>
      </c>
      <c r="M49" s="141">
        <f>세출!F92</f>
        <v>4900000</v>
      </c>
      <c r="N49" s="141">
        <f t="shared" si="7"/>
        <v>300000</v>
      </c>
      <c r="O49" s="155">
        <f t="shared" si="3"/>
        <v>6.5217391304347956</v>
      </c>
      <c r="P49" s="5"/>
      <c r="Q49" s="18"/>
      <c r="R49" s="18"/>
      <c r="S49" s="18"/>
      <c r="T49" s="31"/>
      <c r="U49" s="31"/>
      <c r="V49" s="31"/>
      <c r="W49" s="6"/>
      <c r="X49" s="5"/>
      <c r="Z49" s="27"/>
    </row>
    <row r="50" spans="2:26" s="17" customFormat="1" ht="16.5" customHeight="1">
      <c r="B50" s="157"/>
      <c r="C50" s="158"/>
      <c r="D50" s="158"/>
      <c r="E50" s="159"/>
      <c r="F50" s="160"/>
      <c r="G50" s="161"/>
      <c r="H50" s="162"/>
      <c r="I50" s="286"/>
      <c r="J50" s="314"/>
      <c r="K50" s="158" t="str">
        <f>세출!D95</f>
        <v>문화체험지원비</v>
      </c>
      <c r="L50" s="141">
        <f>세출!E95</f>
        <v>1680000</v>
      </c>
      <c r="M50" s="141">
        <f>세출!F95</f>
        <v>2100000</v>
      </c>
      <c r="N50" s="141">
        <f t="shared" si="7"/>
        <v>420000</v>
      </c>
      <c r="O50" s="155">
        <f t="shared" si="3"/>
        <v>25</v>
      </c>
      <c r="P50" s="5"/>
      <c r="Q50" s="18"/>
      <c r="R50" s="18"/>
      <c r="S50" s="18"/>
      <c r="T50" s="31"/>
      <c r="U50" s="31"/>
      <c r="V50" s="31"/>
      <c r="W50" s="6"/>
      <c r="X50" s="5"/>
      <c r="Z50" s="27"/>
    </row>
    <row r="51" spans="2:26" s="17" customFormat="1" ht="16.5" customHeight="1">
      <c r="B51" s="157"/>
      <c r="C51" s="158"/>
      <c r="D51" s="158"/>
      <c r="E51" s="159"/>
      <c r="F51" s="160"/>
      <c r="G51" s="161"/>
      <c r="H51" s="162"/>
      <c r="I51" s="286"/>
      <c r="J51" s="315"/>
      <c r="K51" s="158" t="str">
        <f>세출!D96</f>
        <v>외부행사지원비</v>
      </c>
      <c r="L51" s="141">
        <f>세출!E96</f>
        <v>300000</v>
      </c>
      <c r="M51" s="141">
        <f>세출!F96</f>
        <v>300000</v>
      </c>
      <c r="N51" s="141">
        <f t="shared" si="7"/>
        <v>0</v>
      </c>
      <c r="O51" s="155">
        <f t="shared" si="3"/>
        <v>0</v>
      </c>
      <c r="P51" s="5"/>
      <c r="Q51" s="18"/>
      <c r="R51" s="18"/>
      <c r="S51" s="18"/>
      <c r="T51" s="31"/>
      <c r="U51" s="31"/>
      <c r="V51" s="31"/>
      <c r="W51" s="6"/>
      <c r="X51" s="5"/>
      <c r="Z51" s="27"/>
    </row>
    <row r="52" spans="2:26" s="17" customFormat="1" ht="16.5" customHeight="1">
      <c r="B52" s="157"/>
      <c r="C52" s="158"/>
      <c r="D52" s="158"/>
      <c r="E52" s="159"/>
      <c r="F52" s="160"/>
      <c r="G52" s="161"/>
      <c r="H52" s="162"/>
      <c r="I52" s="286"/>
      <c r="J52" s="316" t="s">
        <v>133</v>
      </c>
      <c r="K52" s="158" t="s">
        <v>192</v>
      </c>
      <c r="L52" s="141">
        <f>SUM(L53:L57)</f>
        <v>6750000</v>
      </c>
      <c r="M52" s="141">
        <f>SUM(M53:M57)</f>
        <v>6960000</v>
      </c>
      <c r="N52" s="141">
        <f>M52-L52</f>
        <v>210000</v>
      </c>
      <c r="O52" s="155">
        <f t="shared" si="3"/>
        <v>3.1111111111111143</v>
      </c>
      <c r="P52" s="5"/>
      <c r="Q52" s="18"/>
      <c r="R52" s="18"/>
      <c r="S52" s="18"/>
      <c r="T52" s="31"/>
      <c r="U52" s="31"/>
      <c r="V52" s="31"/>
      <c r="W52" s="6"/>
      <c r="X52" s="5"/>
      <c r="Z52" s="27"/>
    </row>
    <row r="53" spans="2:26" s="17" customFormat="1" ht="16.5" customHeight="1">
      <c r="B53" s="163"/>
      <c r="C53" s="164"/>
      <c r="D53" s="164"/>
      <c r="E53" s="165"/>
      <c r="F53" s="166"/>
      <c r="G53" s="167"/>
      <c r="H53" s="168"/>
      <c r="I53" s="286"/>
      <c r="J53" s="317"/>
      <c r="K53" s="158" t="str">
        <f>세출!D98</f>
        <v>봉사자및후원자관리비</v>
      </c>
      <c r="L53" s="141">
        <f>세출!E98</f>
        <v>2550000</v>
      </c>
      <c r="M53" s="141">
        <f>세출!F98</f>
        <v>2860000</v>
      </c>
      <c r="N53" s="141">
        <f t="shared" si="7"/>
        <v>310000</v>
      </c>
      <c r="O53" s="155">
        <f t="shared" si="3"/>
        <v>12.156862745098039</v>
      </c>
      <c r="P53" s="5"/>
      <c r="Q53" s="18"/>
      <c r="R53" s="18"/>
      <c r="S53" s="18"/>
      <c r="T53" s="31"/>
      <c r="U53" s="31"/>
      <c r="V53" s="31"/>
      <c r="W53" s="6"/>
      <c r="X53" s="5"/>
      <c r="Z53" s="27"/>
    </row>
    <row r="54" spans="2:26" s="17" customFormat="1" ht="16.5" customHeight="1">
      <c r="B54" s="157"/>
      <c r="C54" s="158"/>
      <c r="D54" s="158"/>
      <c r="E54" s="159"/>
      <c r="F54" s="160"/>
      <c r="G54" s="161"/>
      <c r="H54" s="162"/>
      <c r="I54" s="286"/>
      <c r="J54" s="317"/>
      <c r="K54" s="158" t="str">
        <f>세출!D107</f>
        <v>직원연수교육비</v>
      </c>
      <c r="L54" s="141">
        <f>세출!E107</f>
        <v>2000000</v>
      </c>
      <c r="M54" s="141">
        <f>세출!F107</f>
        <v>1800000</v>
      </c>
      <c r="N54" s="141">
        <f t="shared" si="7"/>
        <v>-200000</v>
      </c>
      <c r="O54" s="155">
        <f t="shared" si="3"/>
        <v>-10</v>
      </c>
      <c r="P54" s="5"/>
      <c r="Q54" s="62"/>
      <c r="R54" s="62"/>
      <c r="S54" s="62"/>
      <c r="T54" s="31"/>
      <c r="U54" s="31"/>
      <c r="V54" s="31"/>
      <c r="W54" s="6"/>
      <c r="X54" s="5"/>
      <c r="Z54" s="27"/>
    </row>
    <row r="55" spans="2:26" s="17" customFormat="1" ht="16.5" customHeight="1">
      <c r="B55" s="157"/>
      <c r="C55" s="158"/>
      <c r="D55" s="158"/>
      <c r="E55" s="159"/>
      <c r="F55" s="160"/>
      <c r="G55" s="161"/>
      <c r="H55" s="162"/>
      <c r="I55" s="286"/>
      <c r="J55" s="317"/>
      <c r="K55" s="158" t="str">
        <f>세출!D108</f>
        <v>홍보사업비</v>
      </c>
      <c r="L55" s="141">
        <f>세출!E108</f>
        <v>1350000</v>
      </c>
      <c r="M55" s="141">
        <f>세출!F108</f>
        <v>1500000</v>
      </c>
      <c r="N55" s="141">
        <f t="shared" si="7"/>
        <v>150000</v>
      </c>
      <c r="O55" s="155">
        <f t="shared" si="3"/>
        <v>11.111111111111114</v>
      </c>
      <c r="P55" s="5"/>
      <c r="Q55" s="62"/>
      <c r="R55" s="62"/>
      <c r="S55" s="62"/>
      <c r="T55" s="31"/>
      <c r="U55" s="31"/>
      <c r="V55" s="31"/>
      <c r="W55" s="6"/>
      <c r="X55" s="5"/>
      <c r="Z55" s="27"/>
    </row>
    <row r="56" spans="2:26" s="17" customFormat="1" ht="16.5" customHeight="1">
      <c r="B56" s="157"/>
      <c r="C56" s="158"/>
      <c r="D56" s="158"/>
      <c r="E56" s="159"/>
      <c r="F56" s="160"/>
      <c r="G56" s="161"/>
      <c r="H56" s="162"/>
      <c r="I56" s="286"/>
      <c r="J56" s="317"/>
      <c r="K56" s="158" t="str">
        <f>세출!D113</f>
        <v>지역네트워크지원비</v>
      </c>
      <c r="L56" s="141">
        <f>세출!E113</f>
        <v>250000</v>
      </c>
      <c r="M56" s="141">
        <f>세출!F113</f>
        <v>200000</v>
      </c>
      <c r="N56" s="141">
        <f>M56-L56</f>
        <v>-50000</v>
      </c>
      <c r="O56" s="155">
        <f t="shared" si="3"/>
        <v>-20</v>
      </c>
      <c r="P56" s="5"/>
      <c r="Q56" s="18"/>
      <c r="R56" s="18"/>
      <c r="S56" s="18"/>
      <c r="T56" s="31"/>
      <c r="U56" s="31"/>
      <c r="V56" s="31"/>
      <c r="W56" s="6"/>
      <c r="X56" s="5"/>
      <c r="Z56" s="27"/>
    </row>
    <row r="57" spans="2:26" ht="16.5" customHeight="1">
      <c r="B57" s="157"/>
      <c r="C57" s="158"/>
      <c r="D57" s="158"/>
      <c r="E57" s="159"/>
      <c r="F57" s="160"/>
      <c r="G57" s="161"/>
      <c r="H57" s="162"/>
      <c r="I57" s="289"/>
      <c r="J57" s="318"/>
      <c r="K57" s="158" t="str">
        <f>세출!D116</f>
        <v>조직관리비</v>
      </c>
      <c r="L57" s="151">
        <f>세출!E116</f>
        <v>600000</v>
      </c>
      <c r="M57" s="151">
        <f>세출!F116</f>
        <v>600000</v>
      </c>
      <c r="N57" s="141">
        <f t="shared" ref="N57:N59" si="8">M57-L57</f>
        <v>0</v>
      </c>
      <c r="O57" s="155">
        <f t="shared" si="3"/>
        <v>0</v>
      </c>
      <c r="P57" s="5"/>
      <c r="Q57" s="18"/>
      <c r="R57" s="18"/>
      <c r="S57" s="18"/>
      <c r="T57" s="31"/>
      <c r="U57" s="31"/>
      <c r="V57" s="5"/>
      <c r="W57" s="5"/>
      <c r="X57" s="5"/>
      <c r="Y57" s="9"/>
      <c r="Z57" s="32"/>
    </row>
    <row r="58" spans="2:26" ht="16.5" customHeight="1">
      <c r="B58" s="157"/>
      <c r="C58" s="158"/>
      <c r="D58" s="158"/>
      <c r="E58" s="159"/>
      <c r="F58" s="160"/>
      <c r="G58" s="161"/>
      <c r="H58" s="162"/>
      <c r="I58" s="288" t="s">
        <v>136</v>
      </c>
      <c r="J58" s="311" t="s">
        <v>198</v>
      </c>
      <c r="K58" s="312"/>
      <c r="L58" s="151">
        <f>L59</f>
        <v>489039</v>
      </c>
      <c r="M58" s="151">
        <f>M59</f>
        <v>500000</v>
      </c>
      <c r="N58" s="141">
        <f t="shared" si="8"/>
        <v>10961</v>
      </c>
      <c r="O58" s="155">
        <f t="shared" si="3"/>
        <v>2.241334535691422</v>
      </c>
      <c r="P58" s="5"/>
      <c r="Q58" s="18"/>
      <c r="R58" s="18"/>
      <c r="S58" s="18"/>
      <c r="T58" s="31"/>
      <c r="U58" s="31"/>
      <c r="V58" s="31"/>
      <c r="W58" s="6"/>
      <c r="X58" s="5"/>
      <c r="Y58" s="9"/>
      <c r="Z58" s="32"/>
    </row>
    <row r="59" spans="2:26" ht="16.5" customHeight="1">
      <c r="B59" s="157"/>
      <c r="C59" s="158"/>
      <c r="D59" s="158"/>
      <c r="E59" s="159"/>
      <c r="F59" s="160"/>
      <c r="G59" s="161"/>
      <c r="H59" s="162"/>
      <c r="I59" s="286"/>
      <c r="J59" s="319" t="str">
        <f>세출!C119</f>
        <v>잡지출</v>
      </c>
      <c r="K59" s="158" t="s">
        <v>199</v>
      </c>
      <c r="L59" s="151">
        <f>L60</f>
        <v>489039</v>
      </c>
      <c r="M59" s="151">
        <f>M60</f>
        <v>500000</v>
      </c>
      <c r="N59" s="141">
        <f t="shared" si="8"/>
        <v>10961</v>
      </c>
      <c r="O59" s="150">
        <f t="shared" ref="O59" si="9">M59/L59*100-100</f>
        <v>2.241334535691422</v>
      </c>
      <c r="P59" s="5"/>
      <c r="Q59" s="18"/>
      <c r="R59" s="18"/>
      <c r="S59" s="18"/>
      <c r="T59" s="31"/>
      <c r="U59" s="31"/>
      <c r="V59" s="5"/>
      <c r="W59" s="5"/>
      <c r="X59" s="5"/>
      <c r="Y59" s="9"/>
      <c r="Z59" s="32"/>
    </row>
    <row r="60" spans="2:26" ht="16.5" customHeight="1">
      <c r="B60" s="157"/>
      <c r="C60" s="158"/>
      <c r="D60" s="158"/>
      <c r="E60" s="159"/>
      <c r="F60" s="160"/>
      <c r="G60" s="161"/>
      <c r="H60" s="162"/>
      <c r="I60" s="289"/>
      <c r="J60" s="315"/>
      <c r="K60" s="158" t="str">
        <f>세출!D120</f>
        <v>잡지출</v>
      </c>
      <c r="L60" s="151">
        <f>세출!E120</f>
        <v>489039</v>
      </c>
      <c r="M60" s="151">
        <f>세출!F120</f>
        <v>500000</v>
      </c>
      <c r="N60" s="141">
        <f t="shared" ref="N60:N65" si="10">M60-L60</f>
        <v>10961</v>
      </c>
      <c r="O60" s="150">
        <f t="shared" ref="O60:O65" si="11">M60/L60*100-100</f>
        <v>2.241334535691422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2:26" ht="16.5" customHeight="1">
      <c r="B61" s="157"/>
      <c r="C61" s="158"/>
      <c r="D61" s="158"/>
      <c r="E61" s="159"/>
      <c r="F61" s="160"/>
      <c r="G61" s="161"/>
      <c r="H61" s="162"/>
      <c r="I61" s="285" t="s">
        <v>200</v>
      </c>
      <c r="J61" s="311" t="s">
        <v>198</v>
      </c>
      <c r="K61" s="312"/>
      <c r="L61" s="151">
        <f>L62</f>
        <v>324711</v>
      </c>
      <c r="M61" s="151">
        <f>M62</f>
        <v>347440</v>
      </c>
      <c r="N61" s="141">
        <f t="shared" si="10"/>
        <v>22729</v>
      </c>
      <c r="O61" s="150">
        <f t="shared" si="11"/>
        <v>6.9997628660562867</v>
      </c>
      <c r="P61" s="284"/>
    </row>
    <row r="62" spans="2:26" ht="16.5" customHeight="1">
      <c r="B62" s="157"/>
      <c r="C62" s="158"/>
      <c r="D62" s="158"/>
      <c r="E62" s="159"/>
      <c r="F62" s="160"/>
      <c r="G62" s="161"/>
      <c r="H62" s="162"/>
      <c r="I62" s="286"/>
      <c r="J62" s="313" t="s">
        <v>200</v>
      </c>
      <c r="K62" s="158" t="s">
        <v>199</v>
      </c>
      <c r="L62" s="151">
        <f>SUM(L63:L65)</f>
        <v>324711</v>
      </c>
      <c r="M62" s="151">
        <f>SUM(M63:M65)</f>
        <v>347440</v>
      </c>
      <c r="N62" s="141">
        <f t="shared" si="10"/>
        <v>22729</v>
      </c>
      <c r="O62" s="150">
        <f t="shared" si="11"/>
        <v>6.9997628660562867</v>
      </c>
      <c r="P62" s="283"/>
    </row>
    <row r="63" spans="2:26" ht="16.5" customHeight="1">
      <c r="B63" s="157"/>
      <c r="C63" s="158"/>
      <c r="D63" s="158"/>
      <c r="E63" s="159"/>
      <c r="F63" s="160"/>
      <c r="G63" s="161"/>
      <c r="H63" s="162"/>
      <c r="I63" s="286"/>
      <c r="J63" s="314"/>
      <c r="K63" s="158" t="str">
        <f>세출!D123</f>
        <v>예비비</v>
      </c>
      <c r="L63" s="151">
        <f>세출!E123</f>
        <v>291180</v>
      </c>
      <c r="M63" s="151">
        <f>세출!F123</f>
        <v>307440</v>
      </c>
      <c r="N63" s="141">
        <f t="shared" si="10"/>
        <v>16260</v>
      </c>
      <c r="O63" s="150">
        <f t="shared" si="11"/>
        <v>5.5841747372759016</v>
      </c>
      <c r="P63" s="283"/>
    </row>
    <row r="64" spans="2:26" ht="16.5" customHeight="1">
      <c r="B64" s="157"/>
      <c r="C64" s="158"/>
      <c r="D64" s="158"/>
      <c r="E64" s="159"/>
      <c r="F64" s="160"/>
      <c r="G64" s="161"/>
      <c r="H64" s="162"/>
      <c r="I64" s="286"/>
      <c r="J64" s="314"/>
      <c r="K64" s="158" t="str">
        <f>세출!D124</f>
        <v>반환금</v>
      </c>
      <c r="L64" s="151">
        <f>세출!E124</f>
        <v>17531</v>
      </c>
      <c r="M64" s="151">
        <f>세출!F124</f>
        <v>20000</v>
      </c>
      <c r="N64" s="141">
        <f t="shared" si="10"/>
        <v>2469</v>
      </c>
      <c r="O64" s="150">
        <f t="shared" si="11"/>
        <v>14.083623295875867</v>
      </c>
      <c r="P64" s="283"/>
    </row>
    <row r="65" spans="2:16" ht="16.5" customHeight="1" thickBot="1">
      <c r="B65" s="169"/>
      <c r="C65" s="170"/>
      <c r="D65" s="170"/>
      <c r="E65" s="171"/>
      <c r="F65" s="172"/>
      <c r="G65" s="173"/>
      <c r="H65" s="174"/>
      <c r="I65" s="287"/>
      <c r="J65" s="320"/>
      <c r="K65" s="170" t="str">
        <f>세출!D125</f>
        <v>차기반환금(예금이자)</v>
      </c>
      <c r="L65" s="175">
        <f>세출!E125</f>
        <v>16000</v>
      </c>
      <c r="M65" s="175">
        <f>세출!F125</f>
        <v>20000</v>
      </c>
      <c r="N65" s="156">
        <f t="shared" si="10"/>
        <v>4000</v>
      </c>
      <c r="O65" s="203">
        <f t="shared" si="11"/>
        <v>25</v>
      </c>
      <c r="P65" s="283"/>
    </row>
    <row r="66" spans="2:16" ht="20.100000000000001" customHeight="1">
      <c r="P66" s="283"/>
    </row>
    <row r="67" spans="2:16" ht="20.100000000000001" customHeight="1">
      <c r="P67" s="283"/>
    </row>
    <row r="68" spans="2:16" ht="20.100000000000001" customHeight="1">
      <c r="P68" s="283"/>
    </row>
    <row r="69" spans="2:16" ht="20.100000000000001" customHeight="1">
      <c r="P69" s="283"/>
    </row>
    <row r="70" spans="2:16" ht="20.100000000000001" customHeight="1">
      <c r="P70" s="283"/>
    </row>
    <row r="71" spans="2:16" ht="20.100000000000001" customHeight="1">
      <c r="P71" s="283"/>
    </row>
    <row r="72" spans="2:16" ht="20.100000000000001" customHeight="1">
      <c r="P72" s="283"/>
    </row>
    <row r="73" spans="2:16" ht="20.100000000000001" customHeight="1">
      <c r="P73" s="283"/>
    </row>
    <row r="74" spans="2:16" ht="20.100000000000001" customHeight="1">
      <c r="F74" s="4"/>
      <c r="G74" s="11"/>
      <c r="P74" s="283"/>
    </row>
    <row r="75" spans="2:16" ht="20.100000000000001" customHeight="1">
      <c r="F75" s="4"/>
      <c r="G75" s="11"/>
      <c r="P75" s="283"/>
    </row>
    <row r="76" spans="2:16" ht="20.100000000000001" customHeight="1">
      <c r="F76" s="4"/>
      <c r="G76" s="11"/>
      <c r="P76" s="283"/>
    </row>
    <row r="77" spans="2:16" ht="20.100000000000001" customHeight="1">
      <c r="F77" s="4"/>
      <c r="G77" s="11"/>
      <c r="P77" s="283"/>
    </row>
    <row r="78" spans="2:16" ht="20.100000000000001" customHeight="1">
      <c r="F78" s="4"/>
      <c r="G78" s="11"/>
      <c r="P78" s="283"/>
    </row>
    <row r="79" spans="2:16" ht="20.100000000000001" customHeight="1">
      <c r="F79" s="4"/>
      <c r="G79" s="11"/>
      <c r="P79" s="283"/>
    </row>
    <row r="80" spans="2:16" ht="20.100000000000001" customHeight="1">
      <c r="F80" s="4"/>
      <c r="G80" s="11"/>
      <c r="P80" s="283"/>
    </row>
    <row r="81" spans="6:26" ht="20.100000000000001" customHeight="1">
      <c r="F81" s="4"/>
      <c r="G81" s="11"/>
      <c r="P81" s="283"/>
    </row>
    <row r="82" spans="6:26" ht="20.100000000000001" customHeight="1">
      <c r="F82" s="4"/>
      <c r="G82" s="11"/>
      <c r="P82" s="283"/>
    </row>
    <row r="83" spans="6:26">
      <c r="F83" s="4"/>
      <c r="G83" s="11"/>
      <c r="P83" s="283"/>
      <c r="Q83" s="18"/>
      <c r="R83" s="18"/>
      <c r="S83" s="18"/>
      <c r="T83" s="31"/>
      <c r="U83" s="31"/>
      <c r="V83" s="31"/>
      <c r="W83" s="6"/>
      <c r="X83" s="5"/>
      <c r="Y83" s="9"/>
      <c r="Z83" s="32"/>
    </row>
    <row r="84" spans="6:26">
      <c r="F84" s="4"/>
      <c r="G84" s="11"/>
      <c r="P84" s="283"/>
      <c r="Q84" s="308"/>
      <c r="R84" s="283"/>
      <c r="S84" s="283"/>
      <c r="T84" s="283"/>
      <c r="U84" s="283"/>
      <c r="V84" s="283"/>
      <c r="W84" s="283"/>
      <c r="X84" s="283"/>
      <c r="Y84" s="283"/>
      <c r="Z84" s="283"/>
    </row>
    <row r="85" spans="6:26">
      <c r="F85" s="4"/>
      <c r="G85" s="11"/>
      <c r="P85" s="283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6:26" ht="17.100000000000001" customHeight="1">
      <c r="F86" s="4"/>
      <c r="G86" s="11"/>
      <c r="P86" s="283"/>
    </row>
    <row r="87" spans="6:26" ht="17.100000000000001" customHeight="1">
      <c r="F87" s="4"/>
      <c r="G87" s="11"/>
      <c r="P87" s="283"/>
    </row>
    <row r="88" spans="6:26" ht="17.100000000000001" customHeight="1">
      <c r="F88" s="4"/>
      <c r="G88" s="11"/>
      <c r="P88" s="283"/>
    </row>
    <row r="89" spans="6:26" ht="17.100000000000001" customHeight="1">
      <c r="F89" s="4"/>
      <c r="G89" s="11"/>
      <c r="P89" s="283"/>
    </row>
    <row r="90" spans="6:26" ht="17.100000000000001" customHeight="1">
      <c r="F90" s="4"/>
      <c r="G90" s="11"/>
      <c r="P90" s="283"/>
      <c r="Y90" s="4"/>
      <c r="Z90" s="4"/>
    </row>
    <row r="91" spans="6:26" ht="17.100000000000001" customHeight="1">
      <c r="F91" s="4"/>
      <c r="G91" s="11"/>
      <c r="P91" s="283"/>
      <c r="Y91" s="4"/>
      <c r="Z91" s="4"/>
    </row>
    <row r="92" spans="6:26" ht="17.100000000000001" customHeight="1">
      <c r="F92" s="4"/>
      <c r="G92" s="11"/>
      <c r="P92" s="283"/>
      <c r="Y92" s="4"/>
      <c r="Z92" s="4"/>
    </row>
    <row r="93" spans="6:26" ht="17.100000000000001" customHeight="1">
      <c r="F93" s="4"/>
      <c r="G93" s="11"/>
      <c r="P93" s="283"/>
      <c r="Y93" s="4"/>
      <c r="Z93" s="4"/>
    </row>
    <row r="94" spans="6:26" ht="17.100000000000001" customHeight="1">
      <c r="F94" s="4"/>
      <c r="G94" s="11"/>
      <c r="P94" s="283"/>
      <c r="Y94" s="4"/>
      <c r="Z94" s="4"/>
    </row>
    <row r="95" spans="6:26" ht="17.100000000000001" customHeight="1">
      <c r="F95" s="4"/>
      <c r="G95" s="11"/>
      <c r="P95" s="283"/>
      <c r="Y95" s="4"/>
      <c r="Z95" s="4"/>
    </row>
    <row r="96" spans="6:26" ht="17.100000000000001" customHeight="1">
      <c r="F96" s="4"/>
      <c r="G96" s="11"/>
      <c r="P96" s="283"/>
      <c r="Y96" s="4"/>
      <c r="Z96" s="4"/>
    </row>
    <row r="97" spans="6:26" ht="17.100000000000001" customHeight="1">
      <c r="F97" s="4"/>
      <c r="G97" s="11"/>
      <c r="P97" s="283"/>
      <c r="Y97" s="4"/>
      <c r="Z97" s="4"/>
    </row>
    <row r="98" spans="6:26" ht="17.100000000000001" customHeight="1">
      <c r="F98" s="4"/>
      <c r="G98" s="11"/>
      <c r="P98" s="283"/>
      <c r="Y98" s="4"/>
      <c r="Z98" s="4"/>
    </row>
    <row r="99" spans="6:26" ht="17.100000000000001" customHeight="1">
      <c r="F99" s="4"/>
      <c r="G99" s="11"/>
      <c r="P99" s="283"/>
      <c r="Y99" s="4"/>
      <c r="Z99" s="4"/>
    </row>
    <row r="100" spans="6:26" ht="17.100000000000001" customHeight="1">
      <c r="F100" s="4"/>
      <c r="G100" s="11"/>
      <c r="P100" s="283"/>
      <c r="Y100" s="4"/>
      <c r="Z100" s="4"/>
    </row>
    <row r="101" spans="6:26" ht="17.100000000000001" customHeight="1">
      <c r="F101" s="4"/>
      <c r="G101" s="11"/>
      <c r="P101" s="283"/>
      <c r="Y101" s="4"/>
      <c r="Z101" s="4"/>
    </row>
    <row r="102" spans="6:26" ht="17.100000000000001" customHeight="1">
      <c r="F102" s="4"/>
      <c r="G102" s="11"/>
      <c r="P102" s="283"/>
      <c r="Y102" s="4"/>
      <c r="Z102" s="4"/>
    </row>
    <row r="103" spans="6:26" ht="17.100000000000001" customHeight="1">
      <c r="F103" s="4"/>
      <c r="G103" s="11"/>
      <c r="P103" s="283"/>
      <c r="Y103" s="4"/>
      <c r="Z103" s="4"/>
    </row>
    <row r="104" spans="6:26" ht="17.100000000000001" customHeight="1">
      <c r="F104" s="4"/>
      <c r="G104" s="11"/>
      <c r="P104" s="283"/>
      <c r="Y104" s="4"/>
      <c r="Z104" s="4"/>
    </row>
    <row r="105" spans="6:26" ht="17.100000000000001" customHeight="1">
      <c r="F105" s="4"/>
      <c r="G105" s="11"/>
      <c r="P105" s="283"/>
      <c r="Y105" s="4"/>
      <c r="Z105" s="4"/>
    </row>
    <row r="106" spans="6:26" ht="17.100000000000001" customHeight="1">
      <c r="F106" s="4"/>
      <c r="G106" s="11"/>
      <c r="P106" s="283"/>
      <c r="Y106" s="4"/>
      <c r="Z106" s="4"/>
    </row>
    <row r="107" spans="6:26" ht="17.100000000000001" customHeight="1">
      <c r="F107" s="4"/>
      <c r="G107" s="11"/>
      <c r="P107" s="283"/>
      <c r="Y107" s="4"/>
      <c r="Z107" s="4"/>
    </row>
    <row r="108" spans="6:26" ht="17.100000000000001" customHeight="1">
      <c r="F108" s="4"/>
      <c r="G108" s="11"/>
      <c r="P108" s="283"/>
      <c r="Y108" s="4"/>
      <c r="Z108" s="4"/>
    </row>
    <row r="109" spans="6:26" ht="17.100000000000001" customHeight="1">
      <c r="F109" s="4"/>
      <c r="G109" s="11"/>
      <c r="P109" s="283"/>
      <c r="Y109" s="4"/>
      <c r="Z109" s="4"/>
    </row>
    <row r="110" spans="6:26" ht="17.100000000000001" customHeight="1">
      <c r="F110" s="4"/>
      <c r="G110" s="11"/>
      <c r="P110" s="283"/>
      <c r="Y110" s="4"/>
      <c r="Z110" s="4"/>
    </row>
    <row r="111" spans="6:26" ht="17.100000000000001" customHeight="1">
      <c r="F111" s="4"/>
      <c r="G111" s="11"/>
      <c r="P111" s="283"/>
      <c r="Y111" s="4"/>
      <c r="Z111" s="4"/>
    </row>
    <row r="112" spans="6:26" ht="17.100000000000001" customHeight="1">
      <c r="F112" s="4"/>
      <c r="G112" s="11"/>
      <c r="P112" s="283"/>
      <c r="Y112" s="4"/>
      <c r="Z112" s="4"/>
    </row>
    <row r="113" spans="6:26" ht="17.100000000000001" customHeight="1">
      <c r="F113" s="4"/>
      <c r="G113" s="11"/>
      <c r="P113" s="283"/>
      <c r="Y113" s="4"/>
      <c r="Z113" s="4"/>
    </row>
    <row r="114" spans="6:26" ht="17.100000000000001" customHeight="1">
      <c r="F114" s="4"/>
      <c r="G114" s="11"/>
      <c r="P114" s="283"/>
      <c r="Y114" s="4"/>
      <c r="Z114" s="4"/>
    </row>
    <row r="115" spans="6:26" ht="17.100000000000001" customHeight="1">
      <c r="F115" s="4"/>
      <c r="G115" s="11"/>
      <c r="P115" s="283"/>
      <c r="Y115" s="4"/>
      <c r="Z115" s="4"/>
    </row>
    <row r="116" spans="6:26" ht="17.100000000000001" customHeight="1">
      <c r="F116" s="4"/>
      <c r="G116" s="11"/>
      <c r="P116" s="283"/>
      <c r="Y116" s="4"/>
      <c r="Z116" s="4"/>
    </row>
    <row r="117" spans="6:26" ht="17.100000000000001" customHeight="1">
      <c r="F117" s="4"/>
      <c r="G117" s="11"/>
      <c r="P117" s="283"/>
      <c r="Y117" s="4"/>
      <c r="Z117" s="4"/>
    </row>
    <row r="118" spans="6:26" ht="17.100000000000001" customHeight="1">
      <c r="F118" s="4"/>
      <c r="G118" s="11"/>
      <c r="P118" s="283"/>
      <c r="Y118" s="4"/>
      <c r="Z118" s="4"/>
    </row>
    <row r="119" spans="6:26" ht="17.100000000000001" customHeight="1">
      <c r="F119" s="4"/>
      <c r="G119" s="11"/>
      <c r="P119" s="283"/>
      <c r="Y119" s="4"/>
      <c r="Z119" s="4"/>
    </row>
    <row r="120" spans="6:26" ht="17.100000000000001" customHeight="1">
      <c r="F120" s="4"/>
      <c r="G120" s="11"/>
      <c r="P120" s="283"/>
      <c r="Y120" s="4"/>
      <c r="Z120" s="4"/>
    </row>
    <row r="121" spans="6:26" ht="17.100000000000001" customHeight="1">
      <c r="F121" s="4"/>
      <c r="G121" s="11"/>
      <c r="P121" s="283"/>
      <c r="Y121" s="4"/>
      <c r="Z121" s="4"/>
    </row>
    <row r="122" spans="6:26" ht="17.100000000000001" customHeight="1">
      <c r="F122" s="4"/>
      <c r="G122" s="11"/>
      <c r="P122" s="283"/>
      <c r="Y122" s="4"/>
      <c r="Z122" s="4"/>
    </row>
    <row r="123" spans="6:26">
      <c r="F123" s="4"/>
      <c r="G123" s="11"/>
      <c r="P123" s="283"/>
      <c r="Y123" s="4"/>
      <c r="Z123" s="4"/>
    </row>
    <row r="124" spans="6:26">
      <c r="F124" s="4"/>
      <c r="G124" s="11"/>
      <c r="P124" s="283"/>
      <c r="Y124" s="4"/>
      <c r="Z124" s="4"/>
    </row>
    <row r="125" spans="6:26" ht="17.100000000000001" customHeight="1">
      <c r="F125" s="4"/>
      <c r="G125" s="11"/>
      <c r="P125" s="283"/>
      <c r="Y125" s="4"/>
      <c r="Z125" s="4"/>
    </row>
    <row r="126" spans="6:26" ht="17.100000000000001" customHeight="1">
      <c r="F126" s="4"/>
      <c r="G126" s="11"/>
      <c r="P126" s="283"/>
      <c r="Y126" s="4"/>
      <c r="Z126" s="4"/>
    </row>
    <row r="127" spans="6:26" ht="17.100000000000001" customHeight="1">
      <c r="F127" s="4"/>
      <c r="G127" s="11"/>
      <c r="P127" s="283"/>
      <c r="Y127" s="4"/>
      <c r="Z127" s="4"/>
    </row>
    <row r="128" spans="6:26" ht="17.100000000000001" customHeight="1">
      <c r="F128" s="4"/>
      <c r="G128" s="11"/>
      <c r="P128" s="283"/>
      <c r="Y128" s="4"/>
      <c r="Z128" s="4"/>
    </row>
    <row r="129" spans="6:26" ht="17.100000000000001" customHeight="1">
      <c r="F129" s="4"/>
      <c r="G129" s="11"/>
      <c r="P129" s="283"/>
      <c r="Y129" s="4"/>
      <c r="Z129" s="4"/>
    </row>
    <row r="130" spans="6:26" ht="17.100000000000001" customHeight="1">
      <c r="F130" s="4"/>
      <c r="G130" s="11"/>
      <c r="P130" s="283"/>
      <c r="Y130" s="4"/>
      <c r="Z130" s="4"/>
    </row>
    <row r="131" spans="6:26" ht="17.100000000000001" customHeight="1">
      <c r="F131" s="4"/>
      <c r="G131" s="11"/>
      <c r="P131" s="283"/>
      <c r="Y131" s="4"/>
      <c r="Z131" s="4"/>
    </row>
    <row r="132" spans="6:26" ht="17.100000000000001" customHeight="1">
      <c r="F132" s="4"/>
      <c r="G132" s="11"/>
      <c r="P132" s="283"/>
      <c r="Y132" s="4"/>
      <c r="Z132" s="4"/>
    </row>
    <row r="133" spans="6:26" ht="17.100000000000001" customHeight="1">
      <c r="F133" s="4"/>
      <c r="G133" s="11"/>
      <c r="P133" s="283"/>
      <c r="Y133" s="4"/>
      <c r="Z133" s="4"/>
    </row>
    <row r="134" spans="6:26" ht="17.100000000000001" customHeight="1">
      <c r="F134" s="4"/>
      <c r="G134" s="11"/>
      <c r="P134" s="283"/>
      <c r="Y134" s="4"/>
      <c r="Z134" s="4"/>
    </row>
    <row r="135" spans="6:26" ht="17.100000000000001" customHeight="1">
      <c r="F135" s="4"/>
      <c r="G135" s="11"/>
      <c r="P135" s="283"/>
      <c r="Y135" s="4"/>
      <c r="Z135" s="4"/>
    </row>
    <row r="136" spans="6:26" ht="17.100000000000001" customHeight="1">
      <c r="F136" s="4"/>
      <c r="G136" s="11"/>
      <c r="P136" s="283"/>
      <c r="Y136" s="4"/>
      <c r="Z136" s="4"/>
    </row>
    <row r="137" spans="6:26" ht="17.100000000000001" customHeight="1">
      <c r="F137" s="4"/>
      <c r="G137" s="11"/>
      <c r="P137" s="283"/>
      <c r="Y137" s="4"/>
      <c r="Z137" s="4"/>
    </row>
    <row r="138" spans="6:26" ht="17.100000000000001" customHeight="1">
      <c r="F138" s="4"/>
      <c r="G138" s="11"/>
      <c r="P138" s="283"/>
      <c r="Y138" s="4"/>
      <c r="Z138" s="4"/>
    </row>
    <row r="139" spans="6:26" ht="17.100000000000001" customHeight="1">
      <c r="F139" s="4"/>
      <c r="G139" s="11"/>
      <c r="P139" s="283"/>
      <c r="Y139" s="4"/>
      <c r="Z139" s="4"/>
    </row>
    <row r="140" spans="6:26" ht="17.100000000000001" customHeight="1">
      <c r="F140" s="4"/>
      <c r="G140" s="11"/>
      <c r="P140" s="283"/>
      <c r="Y140" s="4"/>
      <c r="Z140" s="4"/>
    </row>
    <row r="141" spans="6:26" ht="17.100000000000001" customHeight="1">
      <c r="F141" s="4"/>
      <c r="G141" s="11"/>
      <c r="P141" s="283"/>
      <c r="Y141" s="4"/>
      <c r="Z141" s="4"/>
    </row>
    <row r="142" spans="6:26" ht="17.100000000000001" customHeight="1">
      <c r="F142" s="4"/>
      <c r="G142" s="11"/>
      <c r="P142" s="283"/>
      <c r="Y142" s="4"/>
      <c r="Z142" s="4"/>
    </row>
    <row r="143" spans="6:26" ht="17.100000000000001" customHeight="1">
      <c r="F143" s="4"/>
      <c r="G143" s="11"/>
      <c r="P143" s="283"/>
      <c r="Y143" s="4"/>
      <c r="Z143" s="4"/>
    </row>
    <row r="144" spans="6:26" ht="17.100000000000001" customHeight="1">
      <c r="F144" s="4"/>
      <c r="G144" s="11"/>
      <c r="P144" s="283"/>
      <c r="Y144" s="4"/>
      <c r="Z144" s="4"/>
    </row>
    <row r="145" spans="6:26" ht="17.100000000000001" customHeight="1">
      <c r="F145" s="4"/>
      <c r="G145" s="11"/>
      <c r="P145" s="283"/>
      <c r="Y145" s="4"/>
      <c r="Z145" s="4"/>
    </row>
    <row r="146" spans="6:26" ht="17.100000000000001" customHeight="1">
      <c r="F146" s="4"/>
      <c r="G146" s="11"/>
      <c r="P146" s="283"/>
      <c r="Y146" s="4"/>
      <c r="Z146" s="4"/>
    </row>
    <row r="147" spans="6:26" ht="17.100000000000001" customHeight="1">
      <c r="F147" s="4"/>
      <c r="G147" s="11"/>
      <c r="P147" s="283"/>
      <c r="Y147" s="4"/>
      <c r="Z147" s="4"/>
    </row>
    <row r="148" spans="6:26" ht="17.100000000000001" customHeight="1">
      <c r="F148" s="4"/>
      <c r="G148" s="11"/>
      <c r="P148" s="283"/>
      <c r="Y148" s="4"/>
      <c r="Z148" s="4"/>
    </row>
    <row r="149" spans="6:26" ht="17.100000000000001" customHeight="1">
      <c r="F149" s="4"/>
      <c r="G149" s="11"/>
      <c r="P149" s="283"/>
      <c r="Y149" s="4"/>
      <c r="Z149" s="4"/>
    </row>
    <row r="150" spans="6:26" ht="17.100000000000001" customHeight="1">
      <c r="F150" s="4"/>
      <c r="G150" s="11"/>
      <c r="P150" s="283"/>
      <c r="Y150" s="4"/>
      <c r="Z150" s="4"/>
    </row>
    <row r="151" spans="6:26" ht="17.100000000000001" customHeight="1">
      <c r="F151" s="4"/>
      <c r="G151" s="11"/>
      <c r="P151" s="283"/>
      <c r="Y151" s="4"/>
      <c r="Z151" s="4"/>
    </row>
    <row r="152" spans="6:26" ht="17.100000000000001" customHeight="1">
      <c r="F152" s="4"/>
      <c r="G152" s="11"/>
      <c r="P152" s="283"/>
      <c r="Y152" s="4"/>
      <c r="Z152" s="4"/>
    </row>
    <row r="153" spans="6:26" ht="17.100000000000001" customHeight="1">
      <c r="F153" s="4"/>
      <c r="G153" s="11"/>
      <c r="P153" s="283"/>
      <c r="Y153" s="4"/>
      <c r="Z153" s="4"/>
    </row>
    <row r="154" spans="6:26" ht="17.100000000000001" customHeight="1">
      <c r="F154" s="4"/>
      <c r="G154" s="11"/>
      <c r="P154" s="283"/>
      <c r="Y154" s="4"/>
      <c r="Z154" s="4"/>
    </row>
    <row r="155" spans="6:26" ht="17.100000000000001" customHeight="1">
      <c r="F155" s="4"/>
      <c r="G155" s="11"/>
      <c r="P155" s="283"/>
      <c r="Y155" s="4"/>
      <c r="Z155" s="4"/>
    </row>
    <row r="156" spans="6:26" ht="17.100000000000001" customHeight="1">
      <c r="F156" s="4"/>
      <c r="G156" s="11"/>
      <c r="P156" s="283"/>
      <c r="Y156" s="4"/>
      <c r="Z156" s="4"/>
    </row>
    <row r="157" spans="6:26" ht="17.100000000000001" customHeight="1">
      <c r="F157" s="4"/>
      <c r="G157" s="11"/>
      <c r="P157" s="283"/>
      <c r="Y157" s="4"/>
      <c r="Z157" s="4"/>
    </row>
    <row r="158" spans="6:26" ht="17.100000000000001" customHeight="1">
      <c r="F158" s="4"/>
      <c r="G158" s="11"/>
      <c r="P158" s="283"/>
      <c r="Y158" s="4"/>
      <c r="Z158" s="4"/>
    </row>
    <row r="159" spans="6:26" ht="17.100000000000001" customHeight="1">
      <c r="F159" s="4"/>
      <c r="G159" s="11"/>
      <c r="P159" s="283"/>
      <c r="Y159" s="4"/>
      <c r="Z159" s="4"/>
    </row>
    <row r="160" spans="6:26" ht="17.100000000000001" customHeight="1">
      <c r="F160" s="4"/>
      <c r="G160" s="11"/>
      <c r="P160" s="283"/>
      <c r="Y160" s="4"/>
      <c r="Z160" s="4"/>
    </row>
    <row r="161" spans="6:26">
      <c r="F161" s="4"/>
      <c r="G161" s="11"/>
      <c r="P161" s="283"/>
      <c r="Y161" s="4"/>
      <c r="Z161" s="4"/>
    </row>
    <row r="162" spans="6:26">
      <c r="F162" s="4"/>
      <c r="G162" s="11"/>
      <c r="P162" s="283"/>
      <c r="Y162" s="4"/>
      <c r="Z162" s="4"/>
    </row>
    <row r="163" spans="6:26">
      <c r="F163" s="4"/>
      <c r="G163" s="11"/>
      <c r="P163" s="283"/>
      <c r="Y163" s="4"/>
      <c r="Z163" s="4"/>
    </row>
    <row r="164" spans="6:26">
      <c r="F164" s="4"/>
      <c r="G164" s="11"/>
      <c r="P164" s="283"/>
      <c r="Y164" s="4"/>
      <c r="Z164" s="4"/>
    </row>
    <row r="165" spans="6:26">
      <c r="F165" s="4"/>
      <c r="G165" s="11"/>
      <c r="P165" s="283"/>
      <c r="Y165" s="4"/>
      <c r="Z165" s="4"/>
    </row>
    <row r="166" spans="6:26">
      <c r="F166" s="4"/>
      <c r="G166" s="11"/>
      <c r="P166" s="283"/>
      <c r="Y166" s="4"/>
      <c r="Z166" s="4"/>
    </row>
    <row r="167" spans="6:26">
      <c r="F167" s="4"/>
      <c r="G167" s="11"/>
      <c r="P167" s="283"/>
      <c r="Y167" s="4"/>
      <c r="Z167" s="4"/>
    </row>
    <row r="168" spans="6:26" ht="17.100000000000001" customHeight="1">
      <c r="F168" s="4"/>
      <c r="G168" s="11"/>
      <c r="P168" s="283"/>
      <c r="Y168" s="4"/>
      <c r="Z168" s="4"/>
    </row>
    <row r="169" spans="6:26" ht="17.100000000000001" customHeight="1">
      <c r="F169" s="4"/>
      <c r="G169" s="11"/>
      <c r="P169" s="283"/>
      <c r="Y169" s="4"/>
      <c r="Z169" s="4"/>
    </row>
    <row r="170" spans="6:26" ht="17.100000000000001" customHeight="1">
      <c r="F170" s="4"/>
      <c r="G170" s="11"/>
      <c r="P170" s="283"/>
      <c r="Y170" s="4"/>
      <c r="Z170" s="4"/>
    </row>
    <row r="171" spans="6:26" ht="17.100000000000001" customHeight="1">
      <c r="F171" s="4"/>
      <c r="G171" s="11"/>
      <c r="P171" s="283"/>
      <c r="Y171" s="4"/>
      <c r="Z171" s="4"/>
    </row>
    <row r="172" spans="6:26" ht="17.100000000000001" customHeight="1">
      <c r="F172" s="4"/>
      <c r="G172" s="11"/>
      <c r="P172" s="283"/>
      <c r="Y172" s="4"/>
      <c r="Z172" s="4"/>
    </row>
    <row r="173" spans="6:26" ht="17.100000000000001" customHeight="1">
      <c r="F173" s="4"/>
      <c r="G173" s="11"/>
      <c r="P173" s="283"/>
      <c r="Y173" s="4"/>
      <c r="Z173" s="4"/>
    </row>
    <row r="174" spans="6:26" ht="17.100000000000001" customHeight="1">
      <c r="F174" s="4"/>
      <c r="G174" s="11"/>
      <c r="P174" s="283"/>
      <c r="Y174" s="4"/>
      <c r="Z174" s="4"/>
    </row>
    <row r="175" spans="6:26" ht="17.100000000000001" customHeight="1">
      <c r="F175" s="4"/>
      <c r="G175" s="11"/>
      <c r="P175" s="283"/>
      <c r="Y175" s="4"/>
      <c r="Z175" s="4"/>
    </row>
    <row r="176" spans="6:26" ht="17.100000000000001" customHeight="1">
      <c r="F176" s="4"/>
      <c r="G176" s="11"/>
      <c r="P176" s="283"/>
      <c r="Y176" s="4"/>
      <c r="Z176" s="4"/>
    </row>
    <row r="177" spans="6:26" ht="17.100000000000001" customHeight="1">
      <c r="F177" s="4"/>
      <c r="G177" s="11"/>
      <c r="P177" s="283"/>
      <c r="Y177" s="4"/>
      <c r="Z177" s="4"/>
    </row>
    <row r="178" spans="6:26" ht="17.100000000000001" customHeight="1">
      <c r="F178" s="4"/>
      <c r="G178" s="11"/>
      <c r="P178" s="283"/>
      <c r="Y178" s="4"/>
      <c r="Z178" s="4"/>
    </row>
    <row r="179" spans="6:26" ht="17.100000000000001" customHeight="1">
      <c r="F179" s="4"/>
      <c r="G179" s="11"/>
      <c r="P179" s="283"/>
      <c r="Y179" s="4"/>
      <c r="Z179" s="4"/>
    </row>
    <row r="180" spans="6:26" ht="17.100000000000001" customHeight="1">
      <c r="F180" s="4"/>
      <c r="G180" s="11"/>
      <c r="P180" s="283"/>
      <c r="Y180" s="4"/>
      <c r="Z180" s="4"/>
    </row>
    <row r="181" spans="6:26" ht="17.100000000000001" customHeight="1">
      <c r="F181" s="4"/>
      <c r="G181" s="11"/>
      <c r="P181" s="283"/>
      <c r="Y181" s="4"/>
      <c r="Z181" s="4"/>
    </row>
    <row r="182" spans="6:26" ht="17.100000000000001" customHeight="1">
      <c r="F182" s="4"/>
      <c r="G182" s="11"/>
      <c r="P182" s="283"/>
      <c r="Y182" s="4"/>
      <c r="Z182" s="4"/>
    </row>
    <row r="183" spans="6:26" ht="17.100000000000001" customHeight="1">
      <c r="F183" s="4"/>
      <c r="G183" s="11"/>
      <c r="P183" s="283"/>
      <c r="Y183" s="4"/>
      <c r="Z183" s="4"/>
    </row>
    <row r="184" spans="6:26" ht="17.100000000000001" customHeight="1">
      <c r="F184" s="4"/>
      <c r="G184" s="11"/>
      <c r="P184" s="283"/>
      <c r="Y184" s="4"/>
      <c r="Z184" s="4"/>
    </row>
    <row r="185" spans="6:26" ht="17.100000000000001" customHeight="1">
      <c r="F185" s="4"/>
      <c r="G185" s="11"/>
      <c r="P185" s="283"/>
      <c r="Y185" s="4"/>
      <c r="Z185" s="4"/>
    </row>
    <row r="186" spans="6:26" ht="17.100000000000001" customHeight="1">
      <c r="F186" s="4"/>
      <c r="G186" s="11"/>
      <c r="P186" s="283"/>
      <c r="Y186" s="4"/>
      <c r="Z186" s="4"/>
    </row>
    <row r="187" spans="6:26" ht="17.100000000000001" customHeight="1">
      <c r="F187" s="4"/>
      <c r="G187" s="11"/>
      <c r="P187" s="283"/>
      <c r="Y187" s="4"/>
      <c r="Z187" s="4"/>
    </row>
    <row r="188" spans="6:26" ht="17.100000000000001" customHeight="1">
      <c r="F188" s="4"/>
      <c r="G188" s="11"/>
      <c r="P188" s="283"/>
      <c r="Y188" s="4"/>
      <c r="Z188" s="4"/>
    </row>
    <row r="189" spans="6:26" ht="17.100000000000001" customHeight="1">
      <c r="F189" s="4"/>
      <c r="G189" s="11"/>
      <c r="P189" s="283"/>
      <c r="Y189" s="4"/>
      <c r="Z189" s="4"/>
    </row>
    <row r="190" spans="6:26" ht="17.100000000000001" customHeight="1">
      <c r="F190" s="4"/>
      <c r="G190" s="11"/>
      <c r="P190" s="283"/>
      <c r="Y190" s="4"/>
      <c r="Z190" s="4"/>
    </row>
    <row r="191" spans="6:26" ht="17.100000000000001" customHeight="1">
      <c r="F191" s="4"/>
      <c r="G191" s="11"/>
      <c r="P191" s="283"/>
      <c r="Y191" s="4"/>
      <c r="Z191" s="4"/>
    </row>
    <row r="192" spans="6:26" ht="17.100000000000001" customHeight="1">
      <c r="F192" s="4"/>
      <c r="G192" s="11"/>
      <c r="P192" s="283"/>
      <c r="Y192" s="4"/>
      <c r="Z192" s="4"/>
    </row>
    <row r="193" spans="6:26" ht="17.100000000000001" customHeight="1">
      <c r="F193" s="4"/>
      <c r="G193" s="11"/>
      <c r="P193" s="283"/>
      <c r="Y193" s="4"/>
      <c r="Z193" s="4"/>
    </row>
    <row r="194" spans="6:26" ht="17.100000000000001" customHeight="1">
      <c r="F194" s="4"/>
      <c r="G194" s="11"/>
      <c r="P194" s="283"/>
      <c r="Y194" s="4"/>
      <c r="Z194" s="4"/>
    </row>
    <row r="195" spans="6:26" ht="17.100000000000001" customHeight="1">
      <c r="F195" s="4"/>
      <c r="G195" s="11"/>
      <c r="P195" s="283"/>
      <c r="Y195" s="4"/>
      <c r="Z195" s="4"/>
    </row>
    <row r="196" spans="6:26" ht="17.100000000000001" customHeight="1">
      <c r="F196" s="4"/>
      <c r="G196" s="11"/>
      <c r="P196" s="283"/>
      <c r="Y196" s="4"/>
      <c r="Z196" s="4"/>
    </row>
    <row r="197" spans="6:26" ht="17.100000000000001" customHeight="1">
      <c r="F197" s="4"/>
      <c r="G197" s="11"/>
      <c r="P197" s="283"/>
      <c r="Y197" s="4"/>
      <c r="Z197" s="4"/>
    </row>
    <row r="198" spans="6:26" ht="17.100000000000001" customHeight="1">
      <c r="F198" s="4"/>
      <c r="G198" s="11"/>
      <c r="P198" s="283"/>
      <c r="Y198" s="4"/>
      <c r="Z198" s="4"/>
    </row>
    <row r="199" spans="6:26" ht="17.100000000000001" customHeight="1">
      <c r="F199" s="4"/>
      <c r="G199" s="11"/>
      <c r="P199" s="283"/>
      <c r="Y199" s="4"/>
      <c r="Z199" s="4"/>
    </row>
    <row r="200" spans="6:26" ht="17.100000000000001" customHeight="1">
      <c r="F200" s="4"/>
      <c r="G200" s="11"/>
      <c r="P200" s="283"/>
      <c r="Y200" s="4"/>
      <c r="Z200" s="4"/>
    </row>
    <row r="201" spans="6:26" ht="17.100000000000001" customHeight="1">
      <c r="F201" s="4"/>
      <c r="G201" s="11"/>
      <c r="P201" s="283"/>
      <c r="Y201" s="4"/>
      <c r="Z201" s="4"/>
    </row>
    <row r="202" spans="6:26" ht="17.100000000000001" customHeight="1">
      <c r="F202" s="4"/>
      <c r="G202" s="11"/>
      <c r="P202" s="283"/>
      <c r="Y202" s="4"/>
      <c r="Z202" s="4"/>
    </row>
    <row r="203" spans="6:26" ht="17.100000000000001" customHeight="1">
      <c r="F203" s="4"/>
      <c r="G203" s="11"/>
      <c r="P203" s="283"/>
      <c r="Y203" s="4"/>
      <c r="Z203" s="4"/>
    </row>
    <row r="204" spans="6:26" ht="17.100000000000001" customHeight="1">
      <c r="F204" s="4"/>
      <c r="G204" s="11"/>
      <c r="P204" s="283"/>
      <c r="Y204" s="4"/>
      <c r="Z204" s="4"/>
    </row>
    <row r="205" spans="6:26" ht="17.100000000000001" customHeight="1">
      <c r="F205" s="4"/>
      <c r="G205" s="11"/>
      <c r="P205" s="283"/>
      <c r="Y205" s="4"/>
      <c r="Z205" s="4"/>
    </row>
    <row r="206" spans="6:26" ht="17.100000000000001" customHeight="1">
      <c r="F206" s="4"/>
      <c r="G206" s="11"/>
      <c r="P206" s="283"/>
      <c r="Y206" s="4"/>
      <c r="Z206" s="4"/>
    </row>
    <row r="207" spans="6:26" ht="17.100000000000001" customHeight="1">
      <c r="F207" s="4"/>
      <c r="G207" s="11"/>
      <c r="P207" s="283"/>
      <c r="Y207" s="4"/>
      <c r="Z207" s="4"/>
    </row>
    <row r="208" spans="6:26" ht="17.100000000000001" customHeight="1">
      <c r="F208" s="4"/>
      <c r="G208" s="11"/>
      <c r="P208" s="283"/>
      <c r="Y208" s="4"/>
      <c r="Z208" s="4"/>
    </row>
    <row r="209" spans="6:26" ht="17.100000000000001" customHeight="1">
      <c r="F209" s="4"/>
      <c r="G209" s="11"/>
      <c r="P209" s="283"/>
      <c r="Y209" s="4"/>
      <c r="Z209" s="4"/>
    </row>
    <row r="210" spans="6:26" ht="17.100000000000001" customHeight="1">
      <c r="F210" s="4"/>
      <c r="G210" s="11"/>
      <c r="P210" s="34"/>
      <c r="Y210" s="4"/>
      <c r="Z210" s="4"/>
    </row>
    <row r="211" spans="6:26" ht="17.100000000000001" customHeight="1">
      <c r="F211" s="4"/>
      <c r="G211" s="11"/>
      <c r="P211" s="34"/>
      <c r="Y211" s="4"/>
      <c r="Z211" s="4"/>
    </row>
    <row r="212" spans="6:26" ht="17.100000000000001" customHeight="1">
      <c r="F212" s="4"/>
      <c r="G212" s="11"/>
      <c r="P212" s="34"/>
      <c r="Y212" s="4"/>
      <c r="Z212" s="4"/>
    </row>
    <row r="213" spans="6:26" ht="17.100000000000001" customHeight="1">
      <c r="F213" s="4"/>
      <c r="G213" s="11"/>
      <c r="P213" s="34"/>
      <c r="Y213" s="4"/>
      <c r="Z213" s="4"/>
    </row>
    <row r="214" spans="6:26" ht="17.100000000000001" customHeight="1">
      <c r="F214" s="4"/>
      <c r="G214" s="11"/>
      <c r="P214" s="34"/>
      <c r="Y214" s="4"/>
      <c r="Z214" s="4"/>
    </row>
    <row r="215" spans="6:26" ht="17.100000000000001" customHeight="1">
      <c r="F215" s="4"/>
      <c r="G215" s="11"/>
      <c r="P215" s="34"/>
      <c r="Y215" s="4"/>
      <c r="Z215" s="4"/>
    </row>
    <row r="216" spans="6:26" ht="17.100000000000001" customHeight="1">
      <c r="F216" s="4"/>
      <c r="G216" s="11"/>
      <c r="P216" s="34"/>
      <c r="Y216" s="4"/>
      <c r="Z216" s="4"/>
    </row>
    <row r="217" spans="6:26" ht="17.100000000000001" customHeight="1">
      <c r="F217" s="4"/>
      <c r="G217" s="11"/>
      <c r="P217" s="34"/>
      <c r="Y217" s="4"/>
      <c r="Z217" s="4"/>
    </row>
    <row r="218" spans="6:26" ht="17.100000000000001" customHeight="1">
      <c r="F218" s="4"/>
      <c r="G218" s="11"/>
      <c r="P218" s="34"/>
      <c r="Y218" s="4"/>
      <c r="Z218" s="4"/>
    </row>
    <row r="219" spans="6:26" ht="17.100000000000001" customHeight="1">
      <c r="F219" s="4"/>
      <c r="G219" s="11"/>
      <c r="P219" s="34"/>
      <c r="Y219" s="4"/>
      <c r="Z219" s="4"/>
    </row>
    <row r="220" spans="6:26" ht="17.100000000000001" customHeight="1">
      <c r="F220" s="4"/>
      <c r="G220" s="11"/>
      <c r="P220" s="34"/>
      <c r="Y220" s="4"/>
      <c r="Z220" s="4"/>
    </row>
    <row r="221" spans="6:26" ht="17.100000000000001" customHeight="1">
      <c r="F221" s="4"/>
      <c r="G221" s="11"/>
      <c r="P221" s="34"/>
      <c r="Y221" s="4"/>
      <c r="Z221" s="4"/>
    </row>
    <row r="222" spans="6:26" ht="17.100000000000001" customHeight="1">
      <c r="F222" s="4"/>
      <c r="G222" s="11"/>
      <c r="P222" s="34"/>
      <c r="Y222" s="4"/>
      <c r="Z222" s="4"/>
    </row>
    <row r="223" spans="6:26" ht="17.100000000000001" customHeight="1">
      <c r="F223" s="4"/>
      <c r="G223" s="11"/>
      <c r="Y223" s="4"/>
      <c r="Z223" s="4"/>
    </row>
    <row r="224" spans="6:26" ht="17.100000000000001" customHeight="1">
      <c r="F224" s="4"/>
      <c r="G224" s="11"/>
      <c r="Y224" s="4"/>
      <c r="Z224" s="4"/>
    </row>
    <row r="225" spans="6:26" ht="17.100000000000001" customHeight="1">
      <c r="F225" s="4"/>
      <c r="G225" s="11"/>
      <c r="Y225" s="4"/>
      <c r="Z225" s="4"/>
    </row>
    <row r="226" spans="6:26" ht="17.100000000000001" customHeight="1">
      <c r="F226" s="4"/>
      <c r="G226" s="11"/>
      <c r="Y226" s="4"/>
      <c r="Z226" s="4"/>
    </row>
    <row r="227" spans="6:26" ht="17.100000000000001" customHeight="1">
      <c r="F227" s="4"/>
      <c r="G227" s="11"/>
      <c r="Y227" s="4"/>
      <c r="Z227" s="4"/>
    </row>
    <row r="228" spans="6:26" ht="17.100000000000001" customHeight="1">
      <c r="F228" s="4"/>
      <c r="G228" s="11"/>
      <c r="Y228" s="4"/>
      <c r="Z228" s="4"/>
    </row>
    <row r="229" spans="6:26" ht="17.100000000000001" customHeight="1">
      <c r="F229" s="4"/>
      <c r="G229" s="11"/>
      <c r="Y229" s="4"/>
      <c r="Z229" s="4"/>
    </row>
    <row r="230" spans="6:26" ht="17.100000000000001" customHeight="1">
      <c r="F230" s="4"/>
      <c r="G230" s="11"/>
      <c r="Y230" s="4"/>
      <c r="Z230" s="4"/>
    </row>
    <row r="231" spans="6:26" ht="17.100000000000001" customHeight="1">
      <c r="F231" s="4"/>
      <c r="G231" s="11"/>
      <c r="Y231" s="4"/>
      <c r="Z231" s="4"/>
    </row>
  </sheetData>
  <mergeCells count="83">
    <mergeCell ref="B42:B43"/>
    <mergeCell ref="C42:C43"/>
    <mergeCell ref="D42:D43"/>
    <mergeCell ref="E42:E43"/>
    <mergeCell ref="F42:F43"/>
    <mergeCell ref="S41:S42"/>
    <mergeCell ref="T41:T42"/>
    <mergeCell ref="J44:J47"/>
    <mergeCell ref="U41:U42"/>
    <mergeCell ref="V41:W41"/>
    <mergeCell ref="K42:K43"/>
    <mergeCell ref="L42:L43"/>
    <mergeCell ref="M42:M43"/>
    <mergeCell ref="N42:O42"/>
    <mergeCell ref="J42:J43"/>
    <mergeCell ref="I41:O41"/>
    <mergeCell ref="I42:I43"/>
    <mergeCell ref="B1:O1"/>
    <mergeCell ref="N2:O2"/>
    <mergeCell ref="B3:H3"/>
    <mergeCell ref="I3:O3"/>
    <mergeCell ref="C8:C9"/>
    <mergeCell ref="B6:D6"/>
    <mergeCell ref="I6:K6"/>
    <mergeCell ref="B7:B9"/>
    <mergeCell ref="G4:H4"/>
    <mergeCell ref="I4:I5"/>
    <mergeCell ref="B2:D2"/>
    <mergeCell ref="J8:J13"/>
    <mergeCell ref="B10:B12"/>
    <mergeCell ref="B13:B14"/>
    <mergeCell ref="I7:I22"/>
    <mergeCell ref="C7:D7"/>
    <mergeCell ref="R6:S6"/>
    <mergeCell ref="J7:K7"/>
    <mergeCell ref="B4:B5"/>
    <mergeCell ref="C4:C5"/>
    <mergeCell ref="D4:D5"/>
    <mergeCell ref="N4:O4"/>
    <mergeCell ref="Q3:Q4"/>
    <mergeCell ref="K4:K5"/>
    <mergeCell ref="F4:F5"/>
    <mergeCell ref="E4:E5"/>
    <mergeCell ref="M4:M5"/>
    <mergeCell ref="L4:L5"/>
    <mergeCell ref="J4:J5"/>
    <mergeCell ref="V3:W3"/>
    <mergeCell ref="S3:S4"/>
    <mergeCell ref="R3:R4"/>
    <mergeCell ref="T3:T4"/>
    <mergeCell ref="U3:U4"/>
    <mergeCell ref="B15:B17"/>
    <mergeCell ref="C15:D15"/>
    <mergeCell ref="C16:C17"/>
    <mergeCell ref="C18:D18"/>
    <mergeCell ref="Q84:Z84"/>
    <mergeCell ref="J31:J40"/>
    <mergeCell ref="J58:K58"/>
    <mergeCell ref="J23:K23"/>
    <mergeCell ref="J61:K61"/>
    <mergeCell ref="J48:J51"/>
    <mergeCell ref="J52:J57"/>
    <mergeCell ref="J59:J60"/>
    <mergeCell ref="J62:J65"/>
    <mergeCell ref="B41:H41"/>
    <mergeCell ref="Q41:Q42"/>
    <mergeCell ref="R41:R42"/>
    <mergeCell ref="P85:P209"/>
    <mergeCell ref="P61:P84"/>
    <mergeCell ref="I61:I65"/>
    <mergeCell ref="I58:I60"/>
    <mergeCell ref="C10:D10"/>
    <mergeCell ref="C11:C12"/>
    <mergeCell ref="C13:D13"/>
    <mergeCell ref="I23:I26"/>
    <mergeCell ref="J24:J26"/>
    <mergeCell ref="J17:J22"/>
    <mergeCell ref="J14:J16"/>
    <mergeCell ref="J27:K27"/>
    <mergeCell ref="J28:J29"/>
    <mergeCell ref="G42:H42"/>
    <mergeCell ref="I27:I40"/>
    <mergeCell ref="I44:I57"/>
  </mergeCells>
  <phoneticPr fontId="2" type="noConversion"/>
  <printOptions horizontalCentered="1"/>
  <pageMargins left="0.19685039370078741" right="0.19685039370078741" top="0.19685039370078741" bottom="0.19685039370078741" header="0" footer="0"/>
  <pageSetup paperSize="9" scale="72" orientation="landscape" horizontalDpi="300" verticalDpi="300" r:id="rId1"/>
  <headerFooter alignWithMargins="0"/>
  <rowBreaks count="1" manualBreakCount="1">
    <brk id="40" min="1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3:U26"/>
  <sheetViews>
    <sheetView view="pageBreakPreview" zoomScale="75" zoomScaleSheetLayoutView="75" workbookViewId="0">
      <selection activeCell="F36" sqref="F36"/>
    </sheetView>
  </sheetViews>
  <sheetFormatPr defaultRowHeight="13.5"/>
  <cols>
    <col min="1" max="1" width="2.6640625" style="4" customWidth="1"/>
    <col min="2" max="3" width="9.77734375" style="4" customWidth="1"/>
    <col min="4" max="4" width="16" style="4" customWidth="1"/>
    <col min="5" max="5" width="14.21875" style="17" customWidth="1"/>
    <col min="6" max="6" width="14.21875" style="4" customWidth="1"/>
    <col min="7" max="7" width="14.77734375" style="4" bestFit="1" customWidth="1"/>
    <col min="8" max="8" width="8.44140625" style="4" bestFit="1" customWidth="1"/>
    <col min="9" max="9" width="23.77734375" style="4" customWidth="1"/>
    <col min="10" max="10" width="12.77734375" style="4" customWidth="1"/>
    <col min="11" max="12" width="3.77734375" style="4" customWidth="1"/>
    <col min="13" max="13" width="6.77734375" style="4" customWidth="1"/>
    <col min="14" max="15" width="3.77734375" style="4" customWidth="1"/>
    <col min="16" max="16" width="5.77734375" style="4" customWidth="1"/>
    <col min="17" max="17" width="3.77734375" style="4" customWidth="1"/>
    <col min="18" max="18" width="13.77734375" style="4" customWidth="1"/>
    <col min="19" max="20" width="8.88671875" style="4"/>
    <col min="21" max="21" width="11.5546875" style="4" bestFit="1" customWidth="1"/>
    <col min="22" max="23" width="8.88671875" style="4"/>
    <col min="24" max="24" width="11.5546875" style="4" bestFit="1" customWidth="1"/>
    <col min="25" max="16384" width="8.88671875" style="4"/>
  </cols>
  <sheetData>
    <row r="3" spans="2:21" s="56" customFormat="1" ht="32.1" customHeight="1" thickBot="1">
      <c r="B3" s="353" t="s">
        <v>137</v>
      </c>
      <c r="C3" s="353"/>
      <c r="D3" s="54"/>
      <c r="E3" s="55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5" t="s">
        <v>44</v>
      </c>
    </row>
    <row r="4" spans="2:21" ht="24.95" customHeight="1">
      <c r="B4" s="321" t="s">
        <v>2</v>
      </c>
      <c r="C4" s="322" t="s">
        <v>3</v>
      </c>
      <c r="D4" s="322" t="s">
        <v>4</v>
      </c>
      <c r="E4" s="354" t="s">
        <v>230</v>
      </c>
      <c r="F4" s="354" t="s">
        <v>231</v>
      </c>
      <c r="G4" s="322" t="s">
        <v>5</v>
      </c>
      <c r="H4" s="322"/>
      <c r="I4" s="347" t="s">
        <v>139</v>
      </c>
      <c r="J4" s="348"/>
      <c r="K4" s="348"/>
      <c r="L4" s="348"/>
      <c r="M4" s="348"/>
      <c r="N4" s="348"/>
      <c r="O4" s="348"/>
      <c r="P4" s="348"/>
      <c r="Q4" s="348"/>
      <c r="R4" s="349"/>
    </row>
    <row r="5" spans="2:21" ht="24.95" customHeight="1" thickBot="1">
      <c r="B5" s="327"/>
      <c r="C5" s="328"/>
      <c r="D5" s="328"/>
      <c r="E5" s="355"/>
      <c r="F5" s="355"/>
      <c r="G5" s="268" t="s">
        <v>6</v>
      </c>
      <c r="H5" s="268" t="s">
        <v>7</v>
      </c>
      <c r="I5" s="350"/>
      <c r="J5" s="351"/>
      <c r="K5" s="351"/>
      <c r="L5" s="351"/>
      <c r="M5" s="351"/>
      <c r="N5" s="351"/>
      <c r="O5" s="351"/>
      <c r="P5" s="351"/>
      <c r="Q5" s="351"/>
      <c r="R5" s="352"/>
    </row>
    <row r="6" spans="2:21" ht="24.95" customHeight="1" thickBot="1">
      <c r="B6" s="337" t="s">
        <v>8</v>
      </c>
      <c r="C6" s="338"/>
      <c r="D6" s="338"/>
      <c r="E6" s="204">
        <v>398715000</v>
      </c>
      <c r="F6" s="204">
        <f>F7+F9+F12+F16+F14</f>
        <v>427228000</v>
      </c>
      <c r="G6" s="211">
        <f>SUM(G7,G9,G12,G14,G16)</f>
        <v>28513000</v>
      </c>
      <c r="H6" s="207">
        <f>F6/E6*100-100</f>
        <v>7.151223304866889</v>
      </c>
      <c r="I6" s="19"/>
      <c r="J6" s="20"/>
      <c r="K6" s="21"/>
      <c r="L6" s="21"/>
      <c r="M6" s="21"/>
      <c r="N6" s="21"/>
      <c r="O6" s="21"/>
      <c r="P6" s="21"/>
      <c r="Q6" s="21"/>
      <c r="R6" s="22">
        <f>R7+R9+R12+R14+R16</f>
        <v>427228000</v>
      </c>
      <c r="S6" s="11"/>
      <c r="T6" s="11"/>
    </row>
    <row r="7" spans="2:21" ht="24.95" customHeight="1">
      <c r="B7" s="485" t="s">
        <v>385</v>
      </c>
      <c r="C7" s="484" t="s">
        <v>387</v>
      </c>
      <c r="D7" s="282" t="s">
        <v>10</v>
      </c>
      <c r="E7" s="205">
        <f>E8</f>
        <v>27181080</v>
      </c>
      <c r="F7" s="205">
        <f>SUM(F8:F8)</f>
        <v>29290920</v>
      </c>
      <c r="G7" s="206">
        <f>F7-E7</f>
        <v>2109840</v>
      </c>
      <c r="H7" s="208">
        <f>F7/E7*100-100</f>
        <v>7.7621639758243646</v>
      </c>
      <c r="I7" s="66" t="s">
        <v>421</v>
      </c>
      <c r="J7" s="12"/>
      <c r="K7" s="12"/>
      <c r="L7" s="12"/>
      <c r="M7" s="12"/>
      <c r="N7" s="12"/>
      <c r="O7" s="12"/>
      <c r="P7" s="12"/>
      <c r="Q7" s="12"/>
      <c r="R7" s="13">
        <f>R8</f>
        <v>29290920</v>
      </c>
    </row>
    <row r="8" spans="2:21" ht="24.95" customHeight="1">
      <c r="B8" s="483"/>
      <c r="C8" s="479"/>
      <c r="D8" s="107" t="s">
        <v>421</v>
      </c>
      <c r="E8" s="10">
        <v>27181080</v>
      </c>
      <c r="F8" s="10">
        <f>R8</f>
        <v>29290920</v>
      </c>
      <c r="G8" s="10">
        <f t="shared" ref="G8:G15" si="0">F8-E8</f>
        <v>2109840</v>
      </c>
      <c r="H8" s="209">
        <f t="shared" ref="H8:H17" si="1">F8/E8*100-100</f>
        <v>7.7621639758243646</v>
      </c>
      <c r="I8" s="1" t="s">
        <v>420</v>
      </c>
      <c r="J8" s="226">
        <v>2440910</v>
      </c>
      <c r="K8" s="36" t="s">
        <v>16</v>
      </c>
      <c r="L8" s="36" t="s">
        <v>17</v>
      </c>
      <c r="M8" s="67">
        <v>12</v>
      </c>
      <c r="N8" s="49" t="s">
        <v>20</v>
      </c>
      <c r="O8" s="36"/>
      <c r="P8" s="37"/>
      <c r="Q8" s="36"/>
      <c r="R8" s="227">
        <f>J8*M8</f>
        <v>29290920</v>
      </c>
    </row>
    <row r="9" spans="2:21" ht="24.95" customHeight="1">
      <c r="B9" s="482" t="s">
        <v>391</v>
      </c>
      <c r="C9" s="481" t="s">
        <v>391</v>
      </c>
      <c r="D9" s="120" t="s">
        <v>10</v>
      </c>
      <c r="E9" s="8">
        <f>E10</f>
        <v>319234080</v>
      </c>
      <c r="F9" s="8">
        <f>SUM(F10:F11)</f>
        <v>345226200</v>
      </c>
      <c r="G9" s="10">
        <f t="shared" si="0"/>
        <v>25992120</v>
      </c>
      <c r="H9" s="209">
        <f t="shared" si="1"/>
        <v>8.1420254378855788</v>
      </c>
      <c r="I9" s="1" t="s">
        <v>419</v>
      </c>
      <c r="J9" s="35"/>
      <c r="K9" s="36"/>
      <c r="L9" s="36"/>
      <c r="M9" s="37"/>
      <c r="N9" s="36"/>
      <c r="O9" s="36"/>
      <c r="P9" s="37"/>
      <c r="Q9" s="120"/>
      <c r="R9" s="15">
        <f>SUM(R10:R11)</f>
        <v>345226200</v>
      </c>
    </row>
    <row r="10" spans="2:21" ht="24.95" customHeight="1">
      <c r="B10" s="480"/>
      <c r="C10" s="479"/>
      <c r="D10" s="107" t="s">
        <v>418</v>
      </c>
      <c r="E10" s="8">
        <v>319234080</v>
      </c>
      <c r="F10" s="10">
        <f>R10</f>
        <v>345226200</v>
      </c>
      <c r="G10" s="10">
        <f>F10-E10</f>
        <v>25992120</v>
      </c>
      <c r="H10" s="209">
        <f t="shared" si="1"/>
        <v>8.1420254378855788</v>
      </c>
      <c r="I10" s="1" t="s">
        <v>417</v>
      </c>
      <c r="J10" s="226">
        <v>28768850</v>
      </c>
      <c r="K10" s="36" t="s">
        <v>16</v>
      </c>
      <c r="L10" s="36" t="s">
        <v>17</v>
      </c>
      <c r="M10" s="67">
        <v>12</v>
      </c>
      <c r="N10" s="49" t="s">
        <v>20</v>
      </c>
      <c r="O10" s="36"/>
      <c r="P10" s="37"/>
      <c r="Q10" s="107"/>
      <c r="R10" s="227">
        <f>M10*J10</f>
        <v>345226200</v>
      </c>
    </row>
    <row r="11" spans="2:21" ht="9.9499999999999993" hidden="1" customHeight="1">
      <c r="B11" s="98"/>
      <c r="C11" s="120"/>
      <c r="D11" s="120"/>
      <c r="E11" s="8"/>
      <c r="F11" s="10"/>
      <c r="G11" s="10">
        <f t="shared" si="0"/>
        <v>0</v>
      </c>
      <c r="H11" s="209" t="e">
        <f t="shared" si="1"/>
        <v>#DIV/0!</v>
      </c>
      <c r="I11" s="14"/>
      <c r="J11" s="35">
        <v>1300000</v>
      </c>
      <c r="K11" s="36" t="s">
        <v>16</v>
      </c>
      <c r="L11" s="36" t="s">
        <v>17</v>
      </c>
      <c r="M11" s="37">
        <v>10</v>
      </c>
      <c r="N11" s="36" t="s">
        <v>18</v>
      </c>
      <c r="O11" s="36" t="s">
        <v>17</v>
      </c>
      <c r="P11" s="37">
        <v>1</v>
      </c>
      <c r="Q11" s="120" t="s">
        <v>19</v>
      </c>
      <c r="R11" s="15"/>
    </row>
    <row r="12" spans="2:21" ht="24.95" customHeight="1">
      <c r="B12" s="65" t="s">
        <v>42</v>
      </c>
      <c r="C12" s="107" t="s">
        <v>42</v>
      </c>
      <c r="D12" s="120" t="s">
        <v>10</v>
      </c>
      <c r="E12" s="8">
        <f>E13</f>
        <v>20261277</v>
      </c>
      <c r="F12" s="8">
        <f>SUM(F13:F13)</f>
        <v>25000000</v>
      </c>
      <c r="G12" s="10">
        <f t="shared" si="0"/>
        <v>4738723</v>
      </c>
      <c r="H12" s="209">
        <f t="shared" si="1"/>
        <v>23.38807667453537</v>
      </c>
      <c r="I12" s="1" t="s">
        <v>61</v>
      </c>
      <c r="J12" s="35"/>
      <c r="K12" s="36"/>
      <c r="L12" s="36"/>
      <c r="M12" s="37"/>
      <c r="N12" s="36"/>
      <c r="O12" s="36"/>
      <c r="P12" s="37"/>
      <c r="Q12" s="120"/>
      <c r="R12" s="15">
        <f>SUM(R13:R13)</f>
        <v>25000000</v>
      </c>
    </row>
    <row r="13" spans="2:21" ht="24.95" customHeight="1">
      <c r="B13" s="98"/>
      <c r="C13" s="120"/>
      <c r="D13" s="107" t="s">
        <v>60</v>
      </c>
      <c r="E13" s="8">
        <v>20261277</v>
      </c>
      <c r="F13" s="10">
        <f>R13</f>
        <v>25000000</v>
      </c>
      <c r="G13" s="10">
        <f t="shared" si="0"/>
        <v>4738723</v>
      </c>
      <c r="H13" s="209">
        <f t="shared" si="1"/>
        <v>23.38807667453537</v>
      </c>
      <c r="I13" s="1" t="s">
        <v>157</v>
      </c>
      <c r="J13" s="35">
        <v>25000000</v>
      </c>
      <c r="K13" s="36" t="s">
        <v>16</v>
      </c>
      <c r="L13" s="36" t="s">
        <v>17</v>
      </c>
      <c r="M13" s="37">
        <v>1</v>
      </c>
      <c r="N13" s="36" t="s">
        <v>20</v>
      </c>
      <c r="O13" s="36"/>
      <c r="P13" s="37"/>
      <c r="Q13" s="120"/>
      <c r="R13" s="15">
        <f>J13*M13</f>
        <v>25000000</v>
      </c>
    </row>
    <row r="14" spans="2:21" ht="24.95" customHeight="1">
      <c r="B14" s="65" t="s">
        <v>394</v>
      </c>
      <c r="C14" s="107" t="s">
        <v>394</v>
      </c>
      <c r="D14" s="120" t="s">
        <v>10</v>
      </c>
      <c r="E14" s="8">
        <f>E15</f>
        <v>22377160</v>
      </c>
      <c r="F14" s="8">
        <f>SUM(F15:F15)</f>
        <v>25000000</v>
      </c>
      <c r="G14" s="10">
        <f t="shared" si="0"/>
        <v>2622840</v>
      </c>
      <c r="H14" s="209">
        <f t="shared" si="1"/>
        <v>11.721058436369944</v>
      </c>
      <c r="I14" s="1" t="s">
        <v>394</v>
      </c>
      <c r="J14" s="35"/>
      <c r="K14" s="36"/>
      <c r="L14" s="36"/>
      <c r="M14" s="37"/>
      <c r="N14" s="36"/>
      <c r="O14" s="36"/>
      <c r="P14" s="37"/>
      <c r="Q14" s="120"/>
      <c r="R14" s="15">
        <f>SUM(R15)</f>
        <v>25000000</v>
      </c>
    </row>
    <row r="15" spans="2:21" ht="24.95" customHeight="1">
      <c r="B15" s="98"/>
      <c r="C15" s="120"/>
      <c r="D15" s="107" t="s">
        <v>394</v>
      </c>
      <c r="E15" s="8">
        <v>22377160</v>
      </c>
      <c r="F15" s="10">
        <f>R15</f>
        <v>25000000</v>
      </c>
      <c r="G15" s="10">
        <f t="shared" si="0"/>
        <v>2622840</v>
      </c>
      <c r="H15" s="209">
        <f t="shared" si="1"/>
        <v>11.721058436369944</v>
      </c>
      <c r="I15" s="1" t="s">
        <v>416</v>
      </c>
      <c r="J15" s="35">
        <v>25000000</v>
      </c>
      <c r="K15" s="49" t="s">
        <v>16</v>
      </c>
      <c r="L15" s="49" t="s">
        <v>17</v>
      </c>
      <c r="M15" s="37">
        <v>1</v>
      </c>
      <c r="N15" s="49" t="s">
        <v>20</v>
      </c>
      <c r="O15" s="36"/>
      <c r="P15" s="37"/>
      <c r="Q15" s="120"/>
      <c r="R15" s="15">
        <f>J15*M15</f>
        <v>25000000</v>
      </c>
    </row>
    <row r="16" spans="2:21" ht="24.95" customHeight="1">
      <c r="B16" s="98" t="s">
        <v>13</v>
      </c>
      <c r="C16" s="120" t="s">
        <v>13</v>
      </c>
      <c r="D16" s="120" t="s">
        <v>10</v>
      </c>
      <c r="E16" s="8">
        <f>E17</f>
        <v>9661403</v>
      </c>
      <c r="F16" s="8">
        <f>R16</f>
        <v>2710880</v>
      </c>
      <c r="G16" s="10">
        <f>F16-E16</f>
        <v>-6950523</v>
      </c>
      <c r="H16" s="209">
        <f t="shared" si="1"/>
        <v>-71.941135257477612</v>
      </c>
      <c r="I16" s="14" t="s">
        <v>13</v>
      </c>
      <c r="J16" s="35" t="s">
        <v>1</v>
      </c>
      <c r="K16" s="36" t="s">
        <v>1</v>
      </c>
      <c r="L16" s="36" t="s">
        <v>1</v>
      </c>
      <c r="M16" s="37" t="s">
        <v>1</v>
      </c>
      <c r="N16" s="36" t="s">
        <v>1</v>
      </c>
      <c r="O16" s="36" t="s">
        <v>1</v>
      </c>
      <c r="P16" s="37" t="s">
        <v>1</v>
      </c>
      <c r="Q16" s="120" t="s">
        <v>1</v>
      </c>
      <c r="R16" s="15">
        <f>SUM(R17:R19)</f>
        <v>2710880</v>
      </c>
      <c r="U16" s="3"/>
    </row>
    <row r="17" spans="2:21" ht="24.95" customHeight="1">
      <c r="B17" s="255"/>
      <c r="C17" s="256"/>
      <c r="D17" s="257" t="s">
        <v>13</v>
      </c>
      <c r="E17" s="258">
        <v>9661403</v>
      </c>
      <c r="F17" s="258">
        <f>SUM(R17:R17)</f>
        <v>1950000</v>
      </c>
      <c r="G17" s="10">
        <f t="shared" ref="G17:G19" si="2">F17-E17</f>
        <v>-7711403</v>
      </c>
      <c r="H17" s="209">
        <f t="shared" si="1"/>
        <v>-79.81659599542634</v>
      </c>
      <c r="I17" s="261" t="s">
        <v>415</v>
      </c>
      <c r="J17" s="262">
        <v>75000</v>
      </c>
      <c r="K17" s="263" t="s">
        <v>16</v>
      </c>
      <c r="L17" s="263" t="s">
        <v>17</v>
      </c>
      <c r="M17" s="265">
        <v>26</v>
      </c>
      <c r="N17" s="264" t="s">
        <v>19</v>
      </c>
      <c r="O17" s="263"/>
      <c r="P17" s="265"/>
      <c r="Q17" s="256"/>
      <c r="R17" s="266">
        <f>J17*M17</f>
        <v>1950000</v>
      </c>
      <c r="U17" s="3"/>
    </row>
    <row r="18" spans="2:21" ht="24.95" customHeight="1">
      <c r="B18" s="255"/>
      <c r="C18" s="256"/>
      <c r="D18" s="257" t="s">
        <v>414</v>
      </c>
      <c r="E18" s="258">
        <v>0</v>
      </c>
      <c r="F18" s="258">
        <f>R18</f>
        <v>40880</v>
      </c>
      <c r="G18" s="10">
        <f t="shared" si="2"/>
        <v>40880</v>
      </c>
      <c r="H18" s="209">
        <v>0</v>
      </c>
      <c r="I18" s="261" t="s">
        <v>413</v>
      </c>
      <c r="J18" s="262">
        <v>20440</v>
      </c>
      <c r="K18" s="264" t="s">
        <v>16</v>
      </c>
      <c r="L18" s="264" t="s">
        <v>17</v>
      </c>
      <c r="M18" s="265">
        <v>2</v>
      </c>
      <c r="N18" s="264" t="s">
        <v>20</v>
      </c>
      <c r="O18" s="263"/>
      <c r="P18" s="265"/>
      <c r="Q18" s="256"/>
      <c r="R18" s="266">
        <f>J18*M18</f>
        <v>40880</v>
      </c>
      <c r="U18" s="3"/>
    </row>
    <row r="19" spans="2:21" ht="24.95" customHeight="1" thickBot="1">
      <c r="B19" s="43"/>
      <c r="C19" s="41"/>
      <c r="D19" s="68" t="s">
        <v>412</v>
      </c>
      <c r="E19" s="132">
        <v>0</v>
      </c>
      <c r="F19" s="132">
        <f>R19</f>
        <v>720000</v>
      </c>
      <c r="G19" s="44">
        <f t="shared" si="2"/>
        <v>720000</v>
      </c>
      <c r="H19" s="210">
        <v>0</v>
      </c>
      <c r="I19" s="69" t="s">
        <v>343</v>
      </c>
      <c r="J19" s="45">
        <v>30000</v>
      </c>
      <c r="K19" s="247" t="s">
        <v>16</v>
      </c>
      <c r="L19" s="247" t="s">
        <v>17</v>
      </c>
      <c r="M19" s="47">
        <v>2</v>
      </c>
      <c r="N19" s="247" t="s">
        <v>19</v>
      </c>
      <c r="O19" s="247" t="s">
        <v>17</v>
      </c>
      <c r="P19" s="47">
        <v>12</v>
      </c>
      <c r="Q19" s="68" t="s">
        <v>18</v>
      </c>
      <c r="R19" s="48">
        <f>J19*M19*P19</f>
        <v>720000</v>
      </c>
      <c r="U19" s="3"/>
    </row>
    <row r="20" spans="2:21">
      <c r="U20" s="3"/>
    </row>
    <row r="21" spans="2:21">
      <c r="G21" s="219"/>
      <c r="J21" s="478"/>
      <c r="U21" s="3"/>
    </row>
    <row r="22" spans="2:21">
      <c r="R22" s="416"/>
    </row>
    <row r="23" spans="2:21">
      <c r="G23" s="219"/>
    </row>
    <row r="26" spans="2:21">
      <c r="I26" s="138">
        <f>F6-R6</f>
        <v>0</v>
      </c>
      <c r="J26" s="4">
        <f>427548880-427549000</f>
        <v>-120</v>
      </c>
      <c r="R26" s="138"/>
    </row>
  </sheetData>
  <mergeCells count="13">
    <mergeCell ref="G4:H4"/>
    <mergeCell ref="I4:R5"/>
    <mergeCell ref="B6:D6"/>
    <mergeCell ref="B7:B8"/>
    <mergeCell ref="C7:C8"/>
    <mergeCell ref="B9:B10"/>
    <mergeCell ref="C9:C10"/>
    <mergeCell ref="B3:C3"/>
    <mergeCell ref="B4:B5"/>
    <mergeCell ref="C4:C5"/>
    <mergeCell ref="D4:D5"/>
    <mergeCell ref="E4:E5"/>
    <mergeCell ref="F4:F5"/>
  </mergeCells>
  <phoneticPr fontId="2" type="noConversion"/>
  <printOptions horizontalCentered="1"/>
  <pageMargins left="0.15748031496062992" right="0.15748031496062992" top="0.19685039370078741" bottom="0.39370078740157483" header="0.19685039370078741" footer="0"/>
  <pageSetup paperSize="9" scale="74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X122"/>
  <sheetViews>
    <sheetView view="pageBreakPreview" topLeftCell="D7" zoomScale="75" zoomScaleNormal="75" zoomScaleSheetLayoutView="75" workbookViewId="0">
      <selection activeCell="F16" sqref="F16"/>
    </sheetView>
  </sheetViews>
  <sheetFormatPr defaultRowHeight="18" customHeight="1"/>
  <cols>
    <col min="1" max="1" width="1.77734375" style="4" customWidth="1"/>
    <col min="2" max="2" width="9.77734375" style="4" customWidth="1"/>
    <col min="3" max="3" width="12.33203125" style="4" customWidth="1"/>
    <col min="4" max="4" width="16.6640625" style="4" customWidth="1"/>
    <col min="5" max="6" width="14.88671875" style="4" customWidth="1"/>
    <col min="7" max="7" width="12.44140625" style="4" customWidth="1"/>
    <col min="8" max="8" width="9.5546875" style="25" customWidth="1"/>
    <col min="9" max="9" width="25" style="4" customWidth="1"/>
    <col min="10" max="10" width="13.21875" style="5" customWidth="1"/>
    <col min="11" max="12" width="3.77734375" style="5" customWidth="1"/>
    <col min="13" max="13" width="6.77734375" style="5" customWidth="1"/>
    <col min="14" max="15" width="3.77734375" style="5" customWidth="1"/>
    <col min="16" max="16" width="8.6640625" style="5" bestFit="1" customWidth="1"/>
    <col min="17" max="17" width="3.77734375" style="5" customWidth="1"/>
    <col min="18" max="18" width="2.44140625" style="5" bestFit="1" customWidth="1"/>
    <col min="19" max="19" width="4.109375" style="5" bestFit="1" customWidth="1"/>
    <col min="20" max="20" width="3.21875" style="5" bestFit="1" customWidth="1"/>
    <col min="21" max="21" width="13.77734375" style="4" customWidth="1"/>
    <col min="22" max="22" width="13.77734375" style="3" bestFit="1" customWidth="1"/>
    <col min="23" max="23" width="8.88671875" style="4"/>
    <col min="24" max="24" width="11.5546875" style="4" bestFit="1" customWidth="1"/>
    <col min="25" max="16384" width="8.88671875" style="4"/>
  </cols>
  <sheetData>
    <row r="2" spans="2:24" s="56" customFormat="1" ht="32.1" customHeight="1" thickBot="1">
      <c r="B2" s="2" t="s">
        <v>138</v>
      </c>
      <c r="C2" s="54"/>
      <c r="D2" s="54"/>
      <c r="E2" s="486"/>
      <c r="F2" s="230"/>
      <c r="G2" s="486"/>
      <c r="H2" s="57"/>
      <c r="I2" s="3"/>
      <c r="J2" s="487"/>
      <c r="K2" s="54"/>
      <c r="L2" s="54"/>
      <c r="M2" s="54"/>
      <c r="N2" s="54"/>
      <c r="O2" s="54"/>
      <c r="P2" s="54"/>
      <c r="Q2" s="54"/>
      <c r="R2" s="54"/>
      <c r="S2" s="54"/>
      <c r="T2" s="54"/>
      <c r="U2" s="59" t="s">
        <v>44</v>
      </c>
      <c r="V2" s="60"/>
    </row>
    <row r="3" spans="2:24" ht="24.95" customHeight="1">
      <c r="B3" s="321" t="s">
        <v>2</v>
      </c>
      <c r="C3" s="322" t="s">
        <v>3</v>
      </c>
      <c r="D3" s="322" t="s">
        <v>4</v>
      </c>
      <c r="E3" s="354" t="s">
        <v>230</v>
      </c>
      <c r="F3" s="364" t="s">
        <v>231</v>
      </c>
      <c r="G3" s="322" t="s">
        <v>5</v>
      </c>
      <c r="H3" s="322"/>
      <c r="I3" s="359" t="s">
        <v>100</v>
      </c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36"/>
    </row>
    <row r="4" spans="2:24" ht="24.95" customHeight="1" thickBot="1">
      <c r="B4" s="327"/>
      <c r="C4" s="328"/>
      <c r="D4" s="328"/>
      <c r="E4" s="488"/>
      <c r="F4" s="365"/>
      <c r="G4" s="268" t="s">
        <v>6</v>
      </c>
      <c r="H4" s="26" t="s">
        <v>7</v>
      </c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60"/>
    </row>
    <row r="5" spans="2:24" ht="24.95" customHeight="1" thickBot="1">
      <c r="B5" s="337" t="s">
        <v>8</v>
      </c>
      <c r="C5" s="361"/>
      <c r="D5" s="361"/>
      <c r="E5" s="211">
        <f>+E6+E62+E68+E97+E103+E106+E109+E112+E115</f>
        <v>398715000</v>
      </c>
      <c r="F5" s="211">
        <f>+F6+F62+F68+F97+F103+F106+F109+F112+F115</f>
        <v>427228000</v>
      </c>
      <c r="G5" s="211">
        <f>SUM(G6,G62,G68,G97,G103,G106,G109,G112,G115,)</f>
        <v>28513000</v>
      </c>
      <c r="H5" s="489">
        <f>F5/E5*100-100</f>
        <v>7.151223304866889</v>
      </c>
      <c r="I5" s="73"/>
      <c r="J5" s="73"/>
      <c r="U5" s="74">
        <f>U6+U62+U68+U103+U106+U109+U115+U97+U112</f>
        <v>427228000</v>
      </c>
      <c r="V5" s="3">
        <f>U5-F5</f>
        <v>0</v>
      </c>
      <c r="X5" s="138">
        <f>'세출 (3)'!F5-'세입 (3)'!F6</f>
        <v>0</v>
      </c>
    </row>
    <row r="6" spans="2:24" ht="24.95" customHeight="1">
      <c r="B6" s="99" t="s">
        <v>180</v>
      </c>
      <c r="C6" s="362" t="s">
        <v>10</v>
      </c>
      <c r="D6" s="363"/>
      <c r="E6" s="206">
        <f>+E7+E39+E42</f>
        <v>318203070</v>
      </c>
      <c r="F6" s="206">
        <f>+F7+F39+F42</f>
        <v>365399740</v>
      </c>
      <c r="G6" s="206">
        <f>F6-E6</f>
        <v>47196670</v>
      </c>
      <c r="H6" s="208">
        <f>F6/E6*100-100</f>
        <v>14.832248475792525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>
        <f>SUM(U7,U39,U42)</f>
        <v>365399740</v>
      </c>
    </row>
    <row r="7" spans="2:24" ht="24.95" customHeight="1">
      <c r="B7" s="98"/>
      <c r="C7" s="120" t="s">
        <v>14</v>
      </c>
      <c r="D7" s="107" t="s">
        <v>9</v>
      </c>
      <c r="E7" s="10">
        <v>297663070</v>
      </c>
      <c r="F7" s="10">
        <f>SUM(F8,F12,,F27,F29,F35)</f>
        <v>350329740</v>
      </c>
      <c r="G7" s="10">
        <f>F7-E7</f>
        <v>52666670</v>
      </c>
      <c r="H7" s="209">
        <f>F7/E7*100-100</f>
        <v>17.693383999567033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>
        <f>SUM(U8,U12,U27,U29,U35)</f>
        <v>350329740</v>
      </c>
    </row>
    <row r="8" spans="2:24" ht="24.95" customHeight="1">
      <c r="B8" s="98"/>
      <c r="C8" s="120"/>
      <c r="D8" s="120" t="s">
        <v>422</v>
      </c>
      <c r="E8" s="10">
        <v>243924070</v>
      </c>
      <c r="F8" s="10">
        <f>U8</f>
        <v>280536720</v>
      </c>
      <c r="G8" s="10">
        <f>F8-E8</f>
        <v>36612650</v>
      </c>
      <c r="H8" s="209">
        <f>F8/E8*100-100</f>
        <v>15.009855320961151</v>
      </c>
      <c r="I8" s="14" t="s">
        <v>181</v>
      </c>
      <c r="J8" s="35"/>
      <c r="K8" s="36"/>
      <c r="L8" s="36"/>
      <c r="M8" s="37"/>
      <c r="N8" s="36"/>
      <c r="O8" s="36"/>
      <c r="P8" s="37"/>
      <c r="Q8" s="120"/>
      <c r="R8" s="14"/>
      <c r="S8" s="14"/>
      <c r="T8" s="14"/>
      <c r="U8" s="15">
        <f>SUM(U9:U11)</f>
        <v>280536720</v>
      </c>
    </row>
    <row r="9" spans="2:24" ht="24.95" customHeight="1">
      <c r="B9" s="98"/>
      <c r="C9" s="120"/>
      <c r="D9" s="120"/>
      <c r="E9" s="10"/>
      <c r="F9" s="10"/>
      <c r="G9" s="10">
        <f t="shared" ref="G9:G36" si="0">F9-E9</f>
        <v>0</v>
      </c>
      <c r="H9" s="209"/>
      <c r="I9" s="490" t="s">
        <v>423</v>
      </c>
      <c r="J9" s="35">
        <v>1289000</v>
      </c>
      <c r="K9" s="36" t="s">
        <v>16</v>
      </c>
      <c r="L9" s="36" t="s">
        <v>17</v>
      </c>
      <c r="M9" s="37">
        <v>12</v>
      </c>
      <c r="N9" s="36" t="s">
        <v>18</v>
      </c>
      <c r="O9" s="36" t="s">
        <v>17</v>
      </c>
      <c r="P9" s="37">
        <v>1</v>
      </c>
      <c r="Q9" s="120" t="s">
        <v>19</v>
      </c>
      <c r="R9" s="120"/>
      <c r="S9" s="120"/>
      <c r="T9" s="120"/>
      <c r="U9" s="15">
        <f>J9*M9*P9</f>
        <v>15468000</v>
      </c>
      <c r="V9" s="3" t="s">
        <v>424</v>
      </c>
      <c r="X9" s="478"/>
    </row>
    <row r="10" spans="2:24" ht="24.95" customHeight="1">
      <c r="B10" s="98"/>
      <c r="C10" s="120"/>
      <c r="D10" s="120"/>
      <c r="E10" s="10"/>
      <c r="F10" s="10"/>
      <c r="G10" s="10">
        <f t="shared" si="0"/>
        <v>0</v>
      </c>
      <c r="H10" s="209"/>
      <c r="I10" s="246" t="s">
        <v>425</v>
      </c>
      <c r="J10" s="35">
        <v>1373610</v>
      </c>
      <c r="K10" s="36" t="s">
        <v>16</v>
      </c>
      <c r="L10" s="36" t="s">
        <v>17</v>
      </c>
      <c r="M10" s="37">
        <v>12</v>
      </c>
      <c r="N10" s="36" t="s">
        <v>18</v>
      </c>
      <c r="O10" s="36" t="s">
        <v>17</v>
      </c>
      <c r="P10" s="37">
        <v>1</v>
      </c>
      <c r="Q10" s="120" t="s">
        <v>19</v>
      </c>
      <c r="R10" s="120"/>
      <c r="S10" s="120"/>
      <c r="T10" s="120"/>
      <c r="U10" s="15">
        <f t="shared" ref="U10" si="1">J10*M10*P10</f>
        <v>16483320</v>
      </c>
      <c r="X10" s="478"/>
    </row>
    <row r="11" spans="2:24" ht="24.95" customHeight="1">
      <c r="B11" s="98"/>
      <c r="C11" s="120"/>
      <c r="D11" s="120"/>
      <c r="E11" s="10"/>
      <c r="F11" s="10"/>
      <c r="G11" s="10"/>
      <c r="H11" s="209"/>
      <c r="I11" s="490" t="s">
        <v>426</v>
      </c>
      <c r="J11" s="35">
        <v>20715450</v>
      </c>
      <c r="K11" s="36" t="s">
        <v>16</v>
      </c>
      <c r="L11" s="36" t="s">
        <v>17</v>
      </c>
      <c r="M11" s="37">
        <v>12</v>
      </c>
      <c r="N11" s="36" t="s">
        <v>18</v>
      </c>
      <c r="O11" s="36"/>
      <c r="P11" s="37"/>
      <c r="Q11" s="120"/>
      <c r="R11" s="120"/>
      <c r="S11" s="120"/>
      <c r="T11" s="120"/>
      <c r="U11" s="15">
        <f>J11*M11</f>
        <v>248585400</v>
      </c>
    </row>
    <row r="12" spans="2:24" ht="24.95" customHeight="1">
      <c r="B12" s="98"/>
      <c r="C12" s="120"/>
      <c r="D12" s="120" t="s">
        <v>21</v>
      </c>
      <c r="E12" s="491">
        <v>3872680</v>
      </c>
      <c r="F12" s="10">
        <f>U12</f>
        <v>15147880</v>
      </c>
      <c r="G12" s="10">
        <f>F12-E12</f>
        <v>11275200</v>
      </c>
      <c r="H12" s="209"/>
      <c r="I12" s="14" t="s">
        <v>21</v>
      </c>
      <c r="J12" s="35" t="s">
        <v>1</v>
      </c>
      <c r="K12" s="36" t="s">
        <v>1</v>
      </c>
      <c r="L12" s="36" t="s">
        <v>1</v>
      </c>
      <c r="M12" s="37" t="s">
        <v>1</v>
      </c>
      <c r="N12" s="36" t="s">
        <v>1</v>
      </c>
      <c r="O12" s="36" t="s">
        <v>1</v>
      </c>
      <c r="P12" s="37" t="s">
        <v>1</v>
      </c>
      <c r="Q12" s="120" t="s">
        <v>1</v>
      </c>
      <c r="R12" s="120"/>
      <c r="S12" s="120"/>
      <c r="T12" s="120"/>
      <c r="U12" s="15">
        <f>+U14+U18+U21+U24+U13</f>
        <v>15147880</v>
      </c>
    </row>
    <row r="13" spans="2:24" ht="24.95" customHeight="1">
      <c r="B13" s="98"/>
      <c r="C13" s="120"/>
      <c r="D13" s="120"/>
      <c r="E13" s="491"/>
      <c r="F13" s="10"/>
      <c r="G13" s="10"/>
      <c r="H13" s="209"/>
      <c r="I13" s="1" t="s">
        <v>427</v>
      </c>
      <c r="J13" s="35">
        <v>4339200</v>
      </c>
      <c r="K13" s="49" t="s">
        <v>16</v>
      </c>
      <c r="L13" s="49" t="s">
        <v>17</v>
      </c>
      <c r="M13" s="37">
        <v>1</v>
      </c>
      <c r="N13" s="49" t="s">
        <v>20</v>
      </c>
      <c r="O13" s="36"/>
      <c r="P13" s="37"/>
      <c r="Q13" s="120"/>
      <c r="R13" s="120"/>
      <c r="S13" s="120"/>
      <c r="T13" s="120"/>
      <c r="U13" s="76">
        <v>4339200</v>
      </c>
    </row>
    <row r="14" spans="2:24" ht="24.95" customHeight="1">
      <c r="B14" s="98"/>
      <c r="C14" s="120"/>
      <c r="D14" s="120"/>
      <c r="E14" s="10"/>
      <c r="F14" s="10"/>
      <c r="G14" s="10">
        <f t="shared" ref="G14" si="2">F14-E14</f>
        <v>0</v>
      </c>
      <c r="H14" s="209"/>
      <c r="I14" s="1" t="s">
        <v>140</v>
      </c>
      <c r="J14" s="35"/>
      <c r="K14" s="36"/>
      <c r="L14" s="36"/>
      <c r="M14" s="37"/>
      <c r="N14" s="36"/>
      <c r="O14" s="36"/>
      <c r="P14" s="37"/>
      <c r="Q14" s="120"/>
      <c r="R14" s="120"/>
      <c r="S14" s="120"/>
      <c r="T14" s="120"/>
      <c r="U14" s="15">
        <f>SUM(U15:U16)</f>
        <v>1360000</v>
      </c>
    </row>
    <row r="15" spans="2:24" ht="24.95" customHeight="1">
      <c r="B15" s="98"/>
      <c r="C15" s="120"/>
      <c r="D15" s="120"/>
      <c r="E15" s="10"/>
      <c r="F15" s="10"/>
      <c r="G15" s="10"/>
      <c r="H15" s="209"/>
      <c r="I15" s="490" t="s">
        <v>423</v>
      </c>
      <c r="J15" s="35">
        <v>1680000</v>
      </c>
      <c r="K15" s="36" t="s">
        <v>16</v>
      </c>
      <c r="L15" s="36" t="s">
        <v>17</v>
      </c>
      <c r="M15" s="37">
        <v>20</v>
      </c>
      <c r="N15" s="36" t="s">
        <v>7</v>
      </c>
      <c r="O15" s="36" t="s">
        <v>17</v>
      </c>
      <c r="P15" s="37">
        <v>2</v>
      </c>
      <c r="Q15" s="120" t="s">
        <v>20</v>
      </c>
      <c r="R15" s="120"/>
      <c r="S15" s="120"/>
      <c r="T15" s="120"/>
      <c r="U15" s="15">
        <f>J15*P15*M15%</f>
        <v>672000</v>
      </c>
    </row>
    <row r="16" spans="2:24" ht="24.95" customHeight="1">
      <c r="B16" s="98"/>
      <c r="C16" s="120"/>
      <c r="D16" s="120"/>
      <c r="E16" s="10"/>
      <c r="F16" s="10"/>
      <c r="G16" s="10"/>
      <c r="H16" s="209"/>
      <c r="I16" s="246" t="s">
        <v>425</v>
      </c>
      <c r="J16" s="35">
        <v>1720000</v>
      </c>
      <c r="K16" s="36" t="s">
        <v>16</v>
      </c>
      <c r="L16" s="36" t="s">
        <v>17</v>
      </c>
      <c r="M16" s="37">
        <v>20</v>
      </c>
      <c r="N16" s="36" t="s">
        <v>7</v>
      </c>
      <c r="O16" s="36" t="s">
        <v>17</v>
      </c>
      <c r="P16" s="37">
        <v>2</v>
      </c>
      <c r="Q16" s="120" t="s">
        <v>20</v>
      </c>
      <c r="R16" s="120"/>
      <c r="S16" s="120"/>
      <c r="T16" s="120"/>
      <c r="U16" s="15">
        <f>J16*P16*M16%</f>
        <v>688000</v>
      </c>
    </row>
    <row r="17" spans="2:23" ht="24.95" customHeight="1">
      <c r="B17" s="98"/>
      <c r="C17" s="120"/>
      <c r="D17" s="120"/>
      <c r="E17" s="10"/>
      <c r="F17" s="10"/>
      <c r="G17" s="10"/>
      <c r="H17" s="209"/>
      <c r="I17" s="246" t="s">
        <v>428</v>
      </c>
      <c r="J17" s="35">
        <v>2600000</v>
      </c>
      <c r="K17" s="49" t="s">
        <v>16</v>
      </c>
      <c r="L17" s="49" t="s">
        <v>17</v>
      </c>
      <c r="M17" s="37">
        <v>2</v>
      </c>
      <c r="N17" s="49" t="s">
        <v>20</v>
      </c>
      <c r="O17" s="36"/>
      <c r="P17" s="37"/>
      <c r="Q17" s="120"/>
      <c r="R17" s="120"/>
      <c r="S17" s="120"/>
      <c r="T17" s="120"/>
      <c r="U17" s="15">
        <f>J17*M17</f>
        <v>5200000</v>
      </c>
    </row>
    <row r="18" spans="2:23" ht="25.5" customHeight="1">
      <c r="B18" s="98"/>
      <c r="C18" s="120"/>
      <c r="D18" s="120"/>
      <c r="E18" s="10"/>
      <c r="F18" s="10"/>
      <c r="G18" s="10">
        <f t="shared" si="0"/>
        <v>0</v>
      </c>
      <c r="H18" s="209"/>
      <c r="I18" s="14" t="s">
        <v>177</v>
      </c>
      <c r="J18" s="35"/>
      <c r="K18" s="36"/>
      <c r="L18" s="36"/>
      <c r="M18" s="37"/>
      <c r="N18" s="36"/>
      <c r="O18" s="36"/>
      <c r="P18" s="37"/>
      <c r="Q18" s="120"/>
      <c r="R18" s="120"/>
      <c r="S18" s="120"/>
      <c r="T18" s="120"/>
      <c r="U18" s="15">
        <f>SUM(U19:U20)</f>
        <v>2880000</v>
      </c>
    </row>
    <row r="19" spans="2:23" ht="24.95" customHeight="1">
      <c r="B19" s="98"/>
      <c r="C19" s="120"/>
      <c r="D19" s="120"/>
      <c r="E19" s="10"/>
      <c r="F19" s="10"/>
      <c r="G19" s="10">
        <f t="shared" si="0"/>
        <v>0</v>
      </c>
      <c r="H19" s="209"/>
      <c r="I19" s="490" t="s">
        <v>423</v>
      </c>
      <c r="J19" s="35">
        <v>120000</v>
      </c>
      <c r="K19" s="36" t="s">
        <v>16</v>
      </c>
      <c r="L19" s="36" t="s">
        <v>17</v>
      </c>
      <c r="M19" s="37">
        <v>12</v>
      </c>
      <c r="N19" s="36" t="s">
        <v>18</v>
      </c>
      <c r="O19" s="36" t="s">
        <v>17</v>
      </c>
      <c r="P19" s="37">
        <v>1</v>
      </c>
      <c r="Q19" s="120" t="s">
        <v>19</v>
      </c>
      <c r="R19" s="120"/>
      <c r="S19" s="120"/>
      <c r="T19" s="120"/>
      <c r="U19" s="15">
        <f t="shared" ref="U19:U20" si="3">J19*M19*P19</f>
        <v>1440000</v>
      </c>
    </row>
    <row r="20" spans="2:23" ht="24.95" customHeight="1">
      <c r="B20" s="98"/>
      <c r="C20" s="120"/>
      <c r="D20" s="120"/>
      <c r="E20" s="10"/>
      <c r="F20" s="10"/>
      <c r="G20" s="10">
        <f t="shared" si="0"/>
        <v>0</v>
      </c>
      <c r="H20" s="209"/>
      <c r="I20" s="246" t="s">
        <v>425</v>
      </c>
      <c r="J20" s="35">
        <v>120000</v>
      </c>
      <c r="K20" s="36" t="s">
        <v>16</v>
      </c>
      <c r="L20" s="36" t="s">
        <v>17</v>
      </c>
      <c r="M20" s="37">
        <v>12</v>
      </c>
      <c r="N20" s="36" t="s">
        <v>18</v>
      </c>
      <c r="O20" s="36" t="s">
        <v>17</v>
      </c>
      <c r="P20" s="37">
        <v>1</v>
      </c>
      <c r="Q20" s="120" t="s">
        <v>19</v>
      </c>
      <c r="R20" s="120"/>
      <c r="S20" s="120"/>
      <c r="T20" s="120"/>
      <c r="U20" s="15">
        <f t="shared" si="3"/>
        <v>1440000</v>
      </c>
    </row>
    <row r="21" spans="2:23" ht="24.95" customHeight="1">
      <c r="B21" s="98"/>
      <c r="C21" s="120"/>
      <c r="D21" s="120"/>
      <c r="E21" s="10"/>
      <c r="F21" s="10"/>
      <c r="G21" s="10"/>
      <c r="H21" s="209"/>
      <c r="I21" s="14" t="s">
        <v>178</v>
      </c>
      <c r="J21" s="35"/>
      <c r="K21" s="36"/>
      <c r="L21" s="36"/>
      <c r="M21" s="37"/>
      <c r="N21" s="36"/>
      <c r="O21" s="36"/>
      <c r="P21" s="37"/>
      <c r="Q21" s="120"/>
      <c r="R21" s="120"/>
      <c r="S21" s="120"/>
      <c r="T21" s="120"/>
      <c r="U21" s="15">
        <f>SUM(U22:U23)</f>
        <v>1200000</v>
      </c>
    </row>
    <row r="22" spans="2:23" ht="24.95" customHeight="1">
      <c r="B22" s="98"/>
      <c r="C22" s="120"/>
      <c r="D22" s="120"/>
      <c r="E22" s="10"/>
      <c r="F22" s="10"/>
      <c r="G22" s="10"/>
      <c r="H22" s="209"/>
      <c r="I22" s="490" t="s">
        <v>423</v>
      </c>
      <c r="J22" s="35">
        <v>50000</v>
      </c>
      <c r="K22" s="36" t="s">
        <v>16</v>
      </c>
      <c r="L22" s="36" t="s">
        <v>17</v>
      </c>
      <c r="M22" s="37">
        <v>12</v>
      </c>
      <c r="N22" s="36" t="s">
        <v>18</v>
      </c>
      <c r="O22" s="36" t="s">
        <v>17</v>
      </c>
      <c r="P22" s="37">
        <v>1</v>
      </c>
      <c r="Q22" s="120" t="s">
        <v>19</v>
      </c>
      <c r="R22" s="120"/>
      <c r="S22" s="120"/>
      <c r="T22" s="120"/>
      <c r="U22" s="15">
        <f t="shared" ref="U22:U23" si="4">J22*M22*P22</f>
        <v>600000</v>
      </c>
    </row>
    <row r="23" spans="2:23" ht="24.95" customHeight="1">
      <c r="B23" s="98"/>
      <c r="C23" s="120"/>
      <c r="D23" s="120"/>
      <c r="E23" s="10"/>
      <c r="F23" s="10"/>
      <c r="G23" s="10"/>
      <c r="H23" s="209"/>
      <c r="I23" s="246" t="s">
        <v>425</v>
      </c>
      <c r="J23" s="35">
        <v>50000</v>
      </c>
      <c r="K23" s="36" t="s">
        <v>16</v>
      </c>
      <c r="L23" s="36" t="s">
        <v>17</v>
      </c>
      <c r="M23" s="37">
        <v>12</v>
      </c>
      <c r="N23" s="36" t="s">
        <v>18</v>
      </c>
      <c r="O23" s="36" t="s">
        <v>17</v>
      </c>
      <c r="P23" s="37">
        <v>1</v>
      </c>
      <c r="Q23" s="120" t="s">
        <v>19</v>
      </c>
      <c r="R23" s="120"/>
      <c r="S23" s="120"/>
      <c r="T23" s="120"/>
      <c r="U23" s="15">
        <f t="shared" si="4"/>
        <v>600000</v>
      </c>
    </row>
    <row r="24" spans="2:23" ht="24.95" customHeight="1">
      <c r="B24" s="98"/>
      <c r="C24" s="120"/>
      <c r="D24" s="120"/>
      <c r="E24" s="10"/>
      <c r="F24" s="10"/>
      <c r="G24" s="10">
        <f t="shared" si="0"/>
        <v>0</v>
      </c>
      <c r="H24" s="209"/>
      <c r="I24" s="14" t="s">
        <v>182</v>
      </c>
      <c r="J24" s="35"/>
      <c r="K24" s="36"/>
      <c r="L24" s="36"/>
      <c r="M24" s="37"/>
      <c r="N24" s="36"/>
      <c r="O24" s="36"/>
      <c r="P24" s="37"/>
      <c r="Q24" s="120"/>
      <c r="R24" s="120"/>
      <c r="S24" s="120"/>
      <c r="T24" s="120"/>
      <c r="U24" s="15">
        <f>SUM(U25:U26)</f>
        <v>5368680</v>
      </c>
    </row>
    <row r="25" spans="2:23" ht="24.95" customHeight="1">
      <c r="B25" s="98"/>
      <c r="C25" s="120"/>
      <c r="D25" s="120"/>
      <c r="E25" s="10"/>
      <c r="F25" s="10"/>
      <c r="G25" s="10">
        <f t="shared" si="0"/>
        <v>0</v>
      </c>
      <c r="H25" s="209"/>
      <c r="I25" s="490" t="s">
        <v>423</v>
      </c>
      <c r="J25" s="35">
        <v>221000</v>
      </c>
      <c r="K25" s="36" t="s">
        <v>16</v>
      </c>
      <c r="L25" s="36" t="s">
        <v>17</v>
      </c>
      <c r="M25" s="37">
        <v>12</v>
      </c>
      <c r="N25" s="36" t="s">
        <v>18</v>
      </c>
      <c r="O25" s="36" t="s">
        <v>17</v>
      </c>
      <c r="P25" s="37">
        <v>1</v>
      </c>
      <c r="Q25" s="120" t="s">
        <v>19</v>
      </c>
      <c r="R25" s="120"/>
      <c r="S25" s="120"/>
      <c r="T25" s="120"/>
      <c r="U25" s="15">
        <f t="shared" ref="U25" si="5">J25*M25*P25</f>
        <v>2652000</v>
      </c>
      <c r="W25" s="4">
        <v>168000</v>
      </c>
    </row>
    <row r="26" spans="2:23" ht="24.95" customHeight="1">
      <c r="B26" s="98"/>
      <c r="C26" s="120"/>
      <c r="D26" s="120"/>
      <c r="E26" s="10"/>
      <c r="F26" s="10"/>
      <c r="G26" s="10">
        <f t="shared" si="0"/>
        <v>0</v>
      </c>
      <c r="H26" s="209"/>
      <c r="I26" s="246" t="s">
        <v>425</v>
      </c>
      <c r="J26" s="35">
        <v>226390</v>
      </c>
      <c r="K26" s="36" t="s">
        <v>16</v>
      </c>
      <c r="L26" s="36" t="s">
        <v>17</v>
      </c>
      <c r="M26" s="37">
        <v>12</v>
      </c>
      <c r="N26" s="36" t="s">
        <v>18</v>
      </c>
      <c r="O26" s="36" t="s">
        <v>17</v>
      </c>
      <c r="P26" s="37">
        <v>1</v>
      </c>
      <c r="Q26" s="120" t="s">
        <v>19</v>
      </c>
      <c r="R26" s="120"/>
      <c r="S26" s="120"/>
      <c r="T26" s="120"/>
      <c r="U26" s="15">
        <f>J26*M26*P26</f>
        <v>2716680</v>
      </c>
      <c r="W26" s="4">
        <v>172000</v>
      </c>
    </row>
    <row r="27" spans="2:23" ht="24.95" customHeight="1">
      <c r="B27" s="98"/>
      <c r="C27" s="120"/>
      <c r="D27" s="120" t="s">
        <v>37</v>
      </c>
      <c r="E27" s="10">
        <v>20649720</v>
      </c>
      <c r="F27" s="10">
        <f>U27</f>
        <v>24640380</v>
      </c>
      <c r="G27" s="10">
        <f>F27-E27</f>
        <v>3990660</v>
      </c>
      <c r="H27" s="209">
        <f>F27/E27*100-100</f>
        <v>19.325492064783447</v>
      </c>
      <c r="I27" s="14" t="s">
        <v>37</v>
      </c>
      <c r="J27" s="35"/>
      <c r="K27" s="36"/>
      <c r="L27" s="36"/>
      <c r="M27" s="37"/>
      <c r="N27" s="36"/>
      <c r="O27" s="36"/>
      <c r="P27" s="37"/>
      <c r="Q27" s="120"/>
      <c r="R27" s="120"/>
      <c r="S27" s="120"/>
      <c r="T27" s="120"/>
      <c r="U27" s="15">
        <f>U28</f>
        <v>24640380</v>
      </c>
      <c r="W27" s="4">
        <v>308200</v>
      </c>
    </row>
    <row r="28" spans="2:23" ht="24.95" customHeight="1">
      <c r="B28" s="98"/>
      <c r="C28" s="120"/>
      <c r="D28" s="120"/>
      <c r="E28" s="10"/>
      <c r="F28" s="10"/>
      <c r="G28" s="10">
        <f t="shared" si="0"/>
        <v>0</v>
      </c>
      <c r="H28" s="209"/>
      <c r="I28" s="14" t="s">
        <v>141</v>
      </c>
      <c r="J28" s="35">
        <f>U12+U8</f>
        <v>295684600</v>
      </c>
      <c r="K28" s="36" t="s">
        <v>16</v>
      </c>
      <c r="L28" s="36" t="s">
        <v>65</v>
      </c>
      <c r="M28" s="37">
        <v>12</v>
      </c>
      <c r="N28" s="36" t="s">
        <v>18</v>
      </c>
      <c r="O28" s="36"/>
      <c r="P28" s="37"/>
      <c r="Q28" s="120"/>
      <c r="R28" s="120"/>
      <c r="S28" s="120"/>
      <c r="T28" s="120"/>
      <c r="U28" s="15">
        <f>ROUNDDOWN(J28/M28,-1)</f>
        <v>24640380</v>
      </c>
      <c r="W28" s="4">
        <v>192000</v>
      </c>
    </row>
    <row r="29" spans="2:23" ht="24.95" customHeight="1">
      <c r="B29" s="98"/>
      <c r="C29" s="120"/>
      <c r="D29" s="120" t="s">
        <v>35</v>
      </c>
      <c r="E29" s="10">
        <v>22816600</v>
      </c>
      <c r="F29" s="10">
        <f>U29</f>
        <v>27304760</v>
      </c>
      <c r="G29" s="10">
        <f>F29-E29</f>
        <v>4488160</v>
      </c>
      <c r="H29" s="209">
        <f>F29/E29*100-100</f>
        <v>19.67059071027235</v>
      </c>
      <c r="I29" s="14" t="s">
        <v>38</v>
      </c>
      <c r="J29" s="35"/>
      <c r="K29" s="36"/>
      <c r="L29" s="36"/>
      <c r="M29" s="37"/>
      <c r="N29" s="36"/>
      <c r="O29" s="36"/>
      <c r="P29" s="37"/>
      <c r="Q29" s="120"/>
      <c r="R29" s="120"/>
      <c r="S29" s="120"/>
      <c r="T29" s="120"/>
      <c r="U29" s="15">
        <f>SUM(U30:U34)</f>
        <v>27304760</v>
      </c>
      <c r="W29" s="4">
        <v>215000</v>
      </c>
    </row>
    <row r="30" spans="2:23" ht="24.95" customHeight="1">
      <c r="B30" s="98"/>
      <c r="C30" s="120"/>
      <c r="D30" s="120"/>
      <c r="E30" s="10"/>
      <c r="F30" s="10"/>
      <c r="G30" s="10">
        <f t="shared" si="0"/>
        <v>0</v>
      </c>
      <c r="H30" s="209"/>
      <c r="I30" s="14" t="s">
        <v>142</v>
      </c>
      <c r="J30" s="35">
        <f>J28</f>
        <v>295684600</v>
      </c>
      <c r="K30" s="36" t="s">
        <v>16</v>
      </c>
      <c r="L30" s="36" t="s">
        <v>17</v>
      </c>
      <c r="M30" s="50">
        <v>4.5</v>
      </c>
      <c r="N30" s="36" t="s">
        <v>7</v>
      </c>
      <c r="O30" s="36"/>
      <c r="P30" s="37"/>
      <c r="Q30" s="120"/>
      <c r="R30" s="120"/>
      <c r="S30" s="120"/>
      <c r="T30" s="120"/>
      <c r="U30" s="51">
        <f>ROUNDDOWN((J30*M30/100),-1)</f>
        <v>13305800</v>
      </c>
      <c r="W30" s="4">
        <v>84000</v>
      </c>
    </row>
    <row r="31" spans="2:23" ht="24.95" customHeight="1">
      <c r="B31" s="98"/>
      <c r="C31" s="120"/>
      <c r="D31" s="120"/>
      <c r="E31" s="10"/>
      <c r="F31" s="10"/>
      <c r="G31" s="10">
        <f t="shared" si="0"/>
        <v>0</v>
      </c>
      <c r="H31" s="209"/>
      <c r="I31" s="1" t="s">
        <v>143</v>
      </c>
      <c r="J31" s="35">
        <f>J28</f>
        <v>295684600</v>
      </c>
      <c r="K31" s="36" t="s">
        <v>16</v>
      </c>
      <c r="L31" s="36" t="s">
        <v>17</v>
      </c>
      <c r="M31" s="52">
        <v>3.06</v>
      </c>
      <c r="N31" s="36" t="s">
        <v>7</v>
      </c>
      <c r="O31" s="36"/>
      <c r="P31" s="37"/>
      <c r="Q31" s="120"/>
      <c r="R31" s="120"/>
      <c r="S31" s="120"/>
      <c r="T31" s="120"/>
      <c r="U31" s="15">
        <f>ROUNDDOWN((J31*M31/100),-1)</f>
        <v>9047940</v>
      </c>
      <c r="W31" s="4">
        <f>2600000+600000</f>
        <v>3200000</v>
      </c>
    </row>
    <row r="32" spans="2:23" ht="24.95" customHeight="1">
      <c r="B32" s="98"/>
      <c r="C32" s="120"/>
      <c r="D32" s="120"/>
      <c r="E32" s="10"/>
      <c r="F32" s="10"/>
      <c r="G32" s="10">
        <f t="shared" si="0"/>
        <v>0</v>
      </c>
      <c r="H32" s="209"/>
      <c r="I32" s="1" t="s">
        <v>144</v>
      </c>
      <c r="J32" s="35">
        <f>U31</f>
        <v>9047940</v>
      </c>
      <c r="K32" s="36" t="s">
        <v>16</v>
      </c>
      <c r="L32" s="36" t="s">
        <v>17</v>
      </c>
      <c r="M32" s="52">
        <v>6.55</v>
      </c>
      <c r="N32" s="36" t="s">
        <v>7</v>
      </c>
      <c r="O32" s="36"/>
      <c r="P32" s="37"/>
      <c r="Q32" s="120"/>
      <c r="R32" s="120"/>
      <c r="S32" s="120"/>
      <c r="T32" s="120"/>
      <c r="U32" s="15">
        <f>ROUNDDOWN((J32*M32/100),-1)</f>
        <v>592640</v>
      </c>
      <c r="W32" s="4">
        <f>SUM(W25:W31)</f>
        <v>4339200</v>
      </c>
    </row>
    <row r="33" spans="2:21" ht="24.95" customHeight="1">
      <c r="B33" s="98"/>
      <c r="C33" s="120"/>
      <c r="D33" s="120"/>
      <c r="E33" s="10"/>
      <c r="F33" s="10"/>
      <c r="G33" s="10">
        <f t="shared" si="0"/>
        <v>0</v>
      </c>
      <c r="H33" s="209"/>
      <c r="I33" s="1" t="s">
        <v>146</v>
      </c>
      <c r="J33" s="35">
        <f>J28</f>
        <v>295684600</v>
      </c>
      <c r="K33" s="36" t="s">
        <v>16</v>
      </c>
      <c r="L33" s="36" t="s">
        <v>17</v>
      </c>
      <c r="M33" s="52">
        <v>0.9</v>
      </c>
      <c r="N33" s="36" t="s">
        <v>7</v>
      </c>
      <c r="O33" s="36"/>
      <c r="P33" s="37"/>
      <c r="Q33" s="120"/>
      <c r="R33" s="120"/>
      <c r="S33" s="120"/>
      <c r="T33" s="120"/>
      <c r="U33" s="15">
        <f>ROUNDDOWN((J33*M33/100),-1)</f>
        <v>2661160</v>
      </c>
    </row>
    <row r="34" spans="2:21" ht="24.95" customHeight="1">
      <c r="B34" s="98"/>
      <c r="C34" s="120"/>
      <c r="D34" s="120"/>
      <c r="E34" s="10"/>
      <c r="F34" s="10"/>
      <c r="G34" s="10">
        <f t="shared" si="0"/>
        <v>0</v>
      </c>
      <c r="H34" s="209"/>
      <c r="I34" s="1" t="s">
        <v>145</v>
      </c>
      <c r="J34" s="35">
        <f>J28</f>
        <v>295684600</v>
      </c>
      <c r="K34" s="36" t="s">
        <v>16</v>
      </c>
      <c r="L34" s="36" t="s">
        <v>17</v>
      </c>
      <c r="M34" s="52">
        <v>0.57399999999999995</v>
      </c>
      <c r="N34" s="36" t="s">
        <v>7</v>
      </c>
      <c r="O34" s="36"/>
      <c r="P34" s="37"/>
      <c r="Q34" s="120"/>
      <c r="R34" s="120"/>
      <c r="S34" s="120"/>
      <c r="T34" s="120"/>
      <c r="U34" s="15">
        <f>ROUNDDOWN((J34*M34/100),-1)</f>
        <v>1697220</v>
      </c>
    </row>
    <row r="35" spans="2:21" ht="24.95" customHeight="1">
      <c r="B35" s="98"/>
      <c r="C35" s="120"/>
      <c r="D35" s="120" t="s">
        <v>22</v>
      </c>
      <c r="E35" s="10">
        <v>6400000</v>
      </c>
      <c r="F35" s="10">
        <f>U35</f>
        <v>2700000</v>
      </c>
      <c r="G35" s="10">
        <f>F35-E35</f>
        <v>-3700000</v>
      </c>
      <c r="H35" s="209">
        <f>F35/E35*100-100</f>
        <v>-57.8125</v>
      </c>
      <c r="I35" s="14" t="s">
        <v>22</v>
      </c>
      <c r="J35" s="42"/>
      <c r="K35" s="36"/>
      <c r="L35" s="36"/>
      <c r="M35" s="37"/>
      <c r="N35" s="49"/>
      <c r="O35" s="36"/>
      <c r="P35" s="37"/>
      <c r="Q35" s="120"/>
      <c r="R35" s="120"/>
      <c r="S35" s="120"/>
      <c r="T35" s="120"/>
      <c r="U35" s="15">
        <f>SUM(U36:U38)</f>
        <v>2700000</v>
      </c>
    </row>
    <row r="36" spans="2:21" ht="24.95" customHeight="1">
      <c r="B36" s="98"/>
      <c r="C36" s="120"/>
      <c r="D36" s="120"/>
      <c r="E36" s="10"/>
      <c r="F36" s="10"/>
      <c r="G36" s="10">
        <f t="shared" si="0"/>
        <v>0</v>
      </c>
      <c r="H36" s="209"/>
      <c r="I36" s="1" t="s">
        <v>429</v>
      </c>
      <c r="J36" s="35">
        <v>35000</v>
      </c>
      <c r="K36" s="36" t="s">
        <v>16</v>
      </c>
      <c r="L36" s="36" t="s">
        <v>17</v>
      </c>
      <c r="M36" s="67">
        <v>28</v>
      </c>
      <c r="N36" s="49" t="s">
        <v>19</v>
      </c>
      <c r="O36" s="36" t="s">
        <v>1</v>
      </c>
      <c r="P36" s="37" t="s">
        <v>1</v>
      </c>
      <c r="Q36" s="120" t="s">
        <v>1</v>
      </c>
      <c r="R36" s="120"/>
      <c r="S36" s="120"/>
      <c r="T36" s="120"/>
      <c r="U36" s="15">
        <f>+J36*M36</f>
        <v>980000</v>
      </c>
    </row>
    <row r="37" spans="2:21" ht="24.95" customHeight="1">
      <c r="B37" s="98"/>
      <c r="C37" s="120"/>
      <c r="D37" s="120"/>
      <c r="E37" s="10"/>
      <c r="F37" s="10"/>
      <c r="G37" s="10"/>
      <c r="H37" s="209"/>
      <c r="I37" s="1" t="s">
        <v>430</v>
      </c>
      <c r="J37" s="35">
        <v>500000</v>
      </c>
      <c r="K37" s="49" t="s">
        <v>16</v>
      </c>
      <c r="L37" s="36" t="s">
        <v>17</v>
      </c>
      <c r="M37" s="67">
        <v>2</v>
      </c>
      <c r="N37" s="49" t="s">
        <v>20</v>
      </c>
      <c r="O37" s="36"/>
      <c r="P37" s="37"/>
      <c r="Q37" s="120"/>
      <c r="R37" s="120"/>
      <c r="S37" s="120"/>
      <c r="T37" s="120"/>
      <c r="U37" s="15">
        <f>J37*M37</f>
        <v>1000000</v>
      </c>
    </row>
    <row r="38" spans="2:21" ht="24.95" customHeight="1">
      <c r="B38" s="98"/>
      <c r="C38" s="120"/>
      <c r="D38" s="120"/>
      <c r="E38" s="10"/>
      <c r="F38" s="10"/>
      <c r="G38" s="10"/>
      <c r="H38" s="209"/>
      <c r="I38" s="1" t="s">
        <v>431</v>
      </c>
      <c r="J38" s="35">
        <v>30000</v>
      </c>
      <c r="K38" s="49" t="s">
        <v>16</v>
      </c>
      <c r="L38" s="49" t="s">
        <v>17</v>
      </c>
      <c r="M38" s="67">
        <v>2</v>
      </c>
      <c r="N38" s="49" t="s">
        <v>19</v>
      </c>
      <c r="O38" s="49" t="s">
        <v>17</v>
      </c>
      <c r="P38" s="37">
        <v>12</v>
      </c>
      <c r="Q38" s="107" t="s">
        <v>18</v>
      </c>
      <c r="R38" s="120"/>
      <c r="S38" s="120"/>
      <c r="T38" s="120"/>
      <c r="U38" s="15">
        <f>J38*M38*P38</f>
        <v>720000</v>
      </c>
    </row>
    <row r="39" spans="2:21" ht="24.95" customHeight="1">
      <c r="B39" s="98" t="s">
        <v>1</v>
      </c>
      <c r="C39" s="120" t="s">
        <v>23</v>
      </c>
      <c r="D39" s="107" t="s">
        <v>9</v>
      </c>
      <c r="E39" s="10">
        <f>SUM(E41,E40)</f>
        <v>2800000</v>
      </c>
      <c r="F39" s="10">
        <f>SUM(F41,F40)</f>
        <v>2200000</v>
      </c>
      <c r="G39" s="10">
        <f>F39-E39</f>
        <v>-600000</v>
      </c>
      <c r="H39" s="209">
        <f t="shared" ref="H39:H62" si="6">F39/E39*100-100</f>
        <v>-21.428571428571431</v>
      </c>
      <c r="I39" s="14"/>
      <c r="J39" s="35" t="s">
        <v>1</v>
      </c>
      <c r="K39" s="36" t="s">
        <v>1</v>
      </c>
      <c r="L39" s="36" t="s">
        <v>1</v>
      </c>
      <c r="M39" s="37" t="s">
        <v>1</v>
      </c>
      <c r="N39" s="36" t="s">
        <v>1</v>
      </c>
      <c r="O39" s="36" t="s">
        <v>1</v>
      </c>
      <c r="P39" s="37" t="s">
        <v>1</v>
      </c>
      <c r="Q39" s="120" t="s">
        <v>1</v>
      </c>
      <c r="R39" s="120"/>
      <c r="S39" s="120"/>
      <c r="T39" s="120"/>
      <c r="U39" s="15">
        <f>U40+U41</f>
        <v>2200000</v>
      </c>
    </row>
    <row r="40" spans="2:21" ht="24.95" customHeight="1">
      <c r="B40" s="98"/>
      <c r="C40" s="120"/>
      <c r="D40" s="120" t="s">
        <v>24</v>
      </c>
      <c r="E40" s="10">
        <v>1600000</v>
      </c>
      <c r="F40" s="10">
        <f>U40</f>
        <v>1000000</v>
      </c>
      <c r="G40" s="10">
        <f t="shared" ref="G40:G95" si="7">F40-E40</f>
        <v>-600000</v>
      </c>
      <c r="H40" s="209">
        <f t="shared" si="6"/>
        <v>-37.5</v>
      </c>
      <c r="I40" s="1" t="s">
        <v>147</v>
      </c>
      <c r="J40" s="35">
        <v>250000</v>
      </c>
      <c r="K40" s="36" t="s">
        <v>16</v>
      </c>
      <c r="L40" s="36" t="s">
        <v>17</v>
      </c>
      <c r="M40" s="37">
        <v>4</v>
      </c>
      <c r="N40" s="49" t="s">
        <v>20</v>
      </c>
      <c r="O40" s="36" t="s">
        <v>1</v>
      </c>
      <c r="P40" s="37" t="s">
        <v>1</v>
      </c>
      <c r="Q40" s="120" t="s">
        <v>1</v>
      </c>
      <c r="R40" s="120"/>
      <c r="S40" s="120"/>
      <c r="T40" s="120"/>
      <c r="U40" s="15">
        <f>+J40*M40</f>
        <v>1000000</v>
      </c>
    </row>
    <row r="41" spans="2:21" ht="24.95" customHeight="1">
      <c r="B41" s="98"/>
      <c r="C41" s="120"/>
      <c r="D41" s="120" t="s">
        <v>25</v>
      </c>
      <c r="E41" s="10">
        <v>1200000</v>
      </c>
      <c r="F41" s="10">
        <f>U41</f>
        <v>1200000</v>
      </c>
      <c r="G41" s="10">
        <f t="shared" si="7"/>
        <v>0</v>
      </c>
      <c r="H41" s="209">
        <f t="shared" si="6"/>
        <v>0</v>
      </c>
      <c r="I41" s="1" t="s">
        <v>148</v>
      </c>
      <c r="J41" s="35">
        <v>200000</v>
      </c>
      <c r="K41" s="36" t="s">
        <v>16</v>
      </c>
      <c r="L41" s="36" t="s">
        <v>17</v>
      </c>
      <c r="M41" s="37">
        <v>6</v>
      </c>
      <c r="N41" s="49" t="s">
        <v>20</v>
      </c>
      <c r="O41" s="36"/>
      <c r="P41" s="37"/>
      <c r="Q41" s="120"/>
      <c r="R41" s="120"/>
      <c r="S41" s="120"/>
      <c r="T41" s="120"/>
      <c r="U41" s="15">
        <f>+J41*M41</f>
        <v>1200000</v>
      </c>
    </row>
    <row r="42" spans="2:21" ht="24.95" customHeight="1">
      <c r="B42" s="98" t="s">
        <v>1</v>
      </c>
      <c r="C42" s="120" t="s">
        <v>26</v>
      </c>
      <c r="D42" s="107" t="s">
        <v>9</v>
      </c>
      <c r="E42" s="10">
        <f>E43+E44+E47+E51+E56+E59</f>
        <v>17740000</v>
      </c>
      <c r="F42" s="10">
        <f>F43+F44+F47+F51+F56+F59</f>
        <v>12870000</v>
      </c>
      <c r="G42" s="10">
        <f t="shared" si="7"/>
        <v>-4870000</v>
      </c>
      <c r="H42" s="209">
        <f t="shared" si="6"/>
        <v>-27.452085682074411</v>
      </c>
      <c r="I42" s="1"/>
      <c r="J42" s="35" t="s">
        <v>1</v>
      </c>
      <c r="K42" s="36" t="s">
        <v>1</v>
      </c>
      <c r="L42" s="36" t="s">
        <v>1</v>
      </c>
      <c r="M42" s="37" t="s">
        <v>1</v>
      </c>
      <c r="N42" s="36" t="s">
        <v>1</v>
      </c>
      <c r="O42" s="36" t="s">
        <v>1</v>
      </c>
      <c r="P42" s="37" t="s">
        <v>1</v>
      </c>
      <c r="Q42" s="120" t="s">
        <v>1</v>
      </c>
      <c r="R42" s="120"/>
      <c r="S42" s="120"/>
      <c r="T42" s="120"/>
      <c r="U42" s="15">
        <f>+U43+U44+U47+U51+U56+U59</f>
        <v>12870000</v>
      </c>
    </row>
    <row r="43" spans="2:21" ht="24.95" customHeight="1">
      <c r="B43" s="98"/>
      <c r="C43" s="120"/>
      <c r="D43" s="107" t="s">
        <v>39</v>
      </c>
      <c r="E43" s="10">
        <v>1000000</v>
      </c>
      <c r="F43" s="10">
        <f>U43</f>
        <v>600000</v>
      </c>
      <c r="G43" s="10">
        <f t="shared" si="7"/>
        <v>-400000</v>
      </c>
      <c r="H43" s="209">
        <f t="shared" si="6"/>
        <v>-40</v>
      </c>
      <c r="I43" s="14" t="s">
        <v>39</v>
      </c>
      <c r="J43" s="35">
        <v>100000</v>
      </c>
      <c r="K43" s="36" t="s">
        <v>16</v>
      </c>
      <c r="L43" s="36" t="s">
        <v>17</v>
      </c>
      <c r="M43" s="37">
        <v>6</v>
      </c>
      <c r="N43" s="36" t="s">
        <v>20</v>
      </c>
      <c r="O43" s="36" t="s">
        <v>1</v>
      </c>
      <c r="P43" s="37" t="s">
        <v>1</v>
      </c>
      <c r="Q43" s="120" t="s">
        <v>1</v>
      </c>
      <c r="R43" s="120"/>
      <c r="S43" s="120"/>
      <c r="T43" s="120"/>
      <c r="U43" s="15">
        <f>+J43*M43</f>
        <v>600000</v>
      </c>
    </row>
    <row r="44" spans="2:21" ht="24.95" customHeight="1">
      <c r="B44" s="98"/>
      <c r="C44" s="120"/>
      <c r="D44" s="120" t="s">
        <v>28</v>
      </c>
      <c r="E44" s="10">
        <v>3000000</v>
      </c>
      <c r="F44" s="10">
        <f>U44</f>
        <v>3800000</v>
      </c>
      <c r="G44" s="10">
        <f t="shared" si="7"/>
        <v>800000</v>
      </c>
      <c r="H44" s="209">
        <f t="shared" si="6"/>
        <v>26.666666666666657</v>
      </c>
      <c r="I44" s="14" t="s">
        <v>40</v>
      </c>
      <c r="J44" s="42"/>
      <c r="K44" s="36"/>
      <c r="L44" s="36"/>
      <c r="M44" s="37"/>
      <c r="N44" s="49"/>
      <c r="O44" s="36"/>
      <c r="P44" s="37"/>
      <c r="Q44" s="120"/>
      <c r="R44" s="120"/>
      <c r="S44" s="120"/>
      <c r="T44" s="120"/>
      <c r="U44" s="15">
        <f>SUM(U45:U46)</f>
        <v>3800000</v>
      </c>
    </row>
    <row r="45" spans="2:21" ht="24.95" customHeight="1">
      <c r="B45" s="98"/>
      <c r="C45" s="120"/>
      <c r="D45" s="120"/>
      <c r="E45" s="10"/>
      <c r="F45" s="10"/>
      <c r="G45" s="10"/>
      <c r="H45" s="209"/>
      <c r="I45" s="1" t="s">
        <v>432</v>
      </c>
      <c r="J45" s="42">
        <v>200000</v>
      </c>
      <c r="K45" s="36" t="s">
        <v>16</v>
      </c>
      <c r="L45" s="36" t="s">
        <v>17</v>
      </c>
      <c r="M45" s="37">
        <v>4</v>
      </c>
      <c r="N45" s="49" t="s">
        <v>20</v>
      </c>
      <c r="O45" s="36"/>
      <c r="P45" s="37"/>
      <c r="Q45" s="120"/>
      <c r="R45" s="120"/>
      <c r="S45" s="120"/>
      <c r="T45" s="120"/>
      <c r="U45" s="15">
        <f>M45*J45</f>
        <v>800000</v>
      </c>
    </row>
    <row r="46" spans="2:21" ht="24.95" customHeight="1">
      <c r="B46" s="98"/>
      <c r="C46" s="120"/>
      <c r="D46" s="120"/>
      <c r="E46" s="10"/>
      <c r="F46" s="10"/>
      <c r="G46" s="10"/>
      <c r="H46" s="209"/>
      <c r="I46" s="1" t="s">
        <v>433</v>
      </c>
      <c r="J46" s="42">
        <v>250000</v>
      </c>
      <c r="K46" s="36" t="s">
        <v>16</v>
      </c>
      <c r="L46" s="36" t="s">
        <v>17</v>
      </c>
      <c r="M46" s="37">
        <v>12</v>
      </c>
      <c r="N46" s="49" t="s">
        <v>20</v>
      </c>
      <c r="O46" s="36"/>
      <c r="P46" s="37"/>
      <c r="Q46" s="120"/>
      <c r="R46" s="120"/>
      <c r="S46" s="120"/>
      <c r="T46" s="120"/>
      <c r="U46" s="15">
        <f>M46*J46</f>
        <v>3000000</v>
      </c>
    </row>
    <row r="47" spans="2:21" ht="24.95" customHeight="1">
      <c r="B47" s="98"/>
      <c r="C47" s="120"/>
      <c r="D47" s="120" t="s">
        <v>36</v>
      </c>
      <c r="E47" s="10">
        <v>1640000</v>
      </c>
      <c r="F47" s="10">
        <f>U47</f>
        <v>970000</v>
      </c>
      <c r="G47" s="10">
        <f t="shared" si="7"/>
        <v>-670000</v>
      </c>
      <c r="H47" s="209">
        <f t="shared" si="6"/>
        <v>-40.853658536585371</v>
      </c>
      <c r="I47" s="1" t="s">
        <v>36</v>
      </c>
      <c r="J47" s="42"/>
      <c r="K47" s="36"/>
      <c r="L47" s="36"/>
      <c r="M47" s="37"/>
      <c r="N47" s="49"/>
      <c r="O47" s="36"/>
      <c r="P47" s="37"/>
      <c r="Q47" s="120"/>
      <c r="R47" s="120"/>
      <c r="S47" s="120"/>
      <c r="T47" s="120"/>
      <c r="U47" s="15">
        <f>SUM(U48:U50)</f>
        <v>970000</v>
      </c>
    </row>
    <row r="48" spans="2:21" ht="24.95" customHeight="1">
      <c r="B48" s="98"/>
      <c r="C48" s="120"/>
      <c r="D48" s="120"/>
      <c r="E48" s="10"/>
      <c r="F48" s="10"/>
      <c r="G48" s="10"/>
      <c r="H48" s="209"/>
      <c r="I48" s="14" t="s">
        <v>434</v>
      </c>
      <c r="J48" s="35">
        <v>10000</v>
      </c>
      <c r="K48" s="36" t="s">
        <v>16</v>
      </c>
      <c r="L48" s="36" t="s">
        <v>17</v>
      </c>
      <c r="M48" s="37">
        <v>12</v>
      </c>
      <c r="N48" s="36" t="s">
        <v>20</v>
      </c>
      <c r="O48" s="36"/>
      <c r="P48" s="37"/>
      <c r="Q48" s="120"/>
      <c r="R48" s="120"/>
      <c r="S48" s="120"/>
      <c r="T48" s="120"/>
      <c r="U48" s="15">
        <f>J48*M48</f>
        <v>120000</v>
      </c>
    </row>
    <row r="49" spans="2:22" ht="24.95" customHeight="1">
      <c r="B49" s="98"/>
      <c r="C49" s="120"/>
      <c r="D49" s="120"/>
      <c r="E49" s="10"/>
      <c r="F49" s="10"/>
      <c r="G49" s="10"/>
      <c r="H49" s="209"/>
      <c r="I49" s="14" t="s">
        <v>435</v>
      </c>
      <c r="J49" s="35">
        <v>50000</v>
      </c>
      <c r="K49" s="36" t="s">
        <v>16</v>
      </c>
      <c r="L49" s="36" t="s">
        <v>17</v>
      </c>
      <c r="M49" s="37">
        <v>1</v>
      </c>
      <c r="N49" s="36" t="s">
        <v>20</v>
      </c>
      <c r="O49" s="36"/>
      <c r="P49" s="37"/>
      <c r="Q49" s="120"/>
      <c r="R49" s="120"/>
      <c r="S49" s="120"/>
      <c r="T49" s="120"/>
      <c r="U49" s="15">
        <f>J49*M49</f>
        <v>50000</v>
      </c>
    </row>
    <row r="50" spans="2:22" ht="24.95" customHeight="1">
      <c r="B50" s="98"/>
      <c r="C50" s="120"/>
      <c r="D50" s="120"/>
      <c r="E50" s="10"/>
      <c r="F50" s="10"/>
      <c r="G50" s="10"/>
      <c r="H50" s="209"/>
      <c r="I50" s="14" t="s">
        <v>436</v>
      </c>
      <c r="J50" s="35">
        <v>200000</v>
      </c>
      <c r="K50" s="36" t="s">
        <v>16</v>
      </c>
      <c r="L50" s="36" t="s">
        <v>17</v>
      </c>
      <c r="M50" s="37">
        <v>4</v>
      </c>
      <c r="N50" s="36" t="s">
        <v>20</v>
      </c>
      <c r="O50" s="36"/>
      <c r="P50" s="37"/>
      <c r="Q50" s="120"/>
      <c r="R50" s="120"/>
      <c r="S50" s="120"/>
      <c r="T50" s="120"/>
      <c r="U50" s="15">
        <f>M50*J50</f>
        <v>800000</v>
      </c>
    </row>
    <row r="51" spans="2:22" ht="24.95" customHeight="1">
      <c r="B51" s="98"/>
      <c r="C51" s="120"/>
      <c r="D51" s="120" t="s">
        <v>30</v>
      </c>
      <c r="E51" s="10">
        <v>2800000</v>
      </c>
      <c r="F51" s="10">
        <f>U51</f>
        <v>2700000</v>
      </c>
      <c r="G51" s="10">
        <f>F51-E51</f>
        <v>-100000</v>
      </c>
      <c r="H51" s="209">
        <f t="shared" si="6"/>
        <v>-3.5714285714285694</v>
      </c>
      <c r="I51" s="14" t="s">
        <v>30</v>
      </c>
      <c r="J51" s="35"/>
      <c r="K51" s="36"/>
      <c r="L51" s="36"/>
      <c r="M51" s="37"/>
      <c r="N51" s="36"/>
      <c r="O51" s="36"/>
      <c r="P51" s="37"/>
      <c r="Q51" s="120"/>
      <c r="R51" s="120"/>
      <c r="S51" s="120"/>
      <c r="T51" s="120"/>
      <c r="U51" s="15">
        <f>SUM(U52:U55)</f>
        <v>2700000</v>
      </c>
    </row>
    <row r="52" spans="2:22" s="497" customFormat="1" ht="24.95" customHeight="1">
      <c r="B52" s="492"/>
      <c r="C52" s="493"/>
      <c r="D52" s="493"/>
      <c r="E52" s="494"/>
      <c r="F52" s="494"/>
      <c r="G52" s="494"/>
      <c r="H52" s="495"/>
      <c r="I52" s="14" t="s">
        <v>437</v>
      </c>
      <c r="J52" s="35">
        <v>10000</v>
      </c>
      <c r="K52" s="36" t="s">
        <v>16</v>
      </c>
      <c r="L52" s="36" t="s">
        <v>17</v>
      </c>
      <c r="M52" s="37">
        <v>26</v>
      </c>
      <c r="N52" s="36" t="s">
        <v>19</v>
      </c>
      <c r="O52" s="36"/>
      <c r="P52" s="37"/>
      <c r="Q52" s="120"/>
      <c r="R52" s="120"/>
      <c r="S52" s="120"/>
      <c r="T52" s="120"/>
      <c r="U52" s="15">
        <f>J52*M52</f>
        <v>260000</v>
      </c>
      <c r="V52" s="496"/>
    </row>
    <row r="53" spans="2:22" s="497" customFormat="1" ht="24.95" customHeight="1">
      <c r="B53" s="492"/>
      <c r="C53" s="493"/>
      <c r="D53" s="493"/>
      <c r="E53" s="494"/>
      <c r="F53" s="494"/>
      <c r="G53" s="494"/>
      <c r="H53" s="495"/>
      <c r="I53" s="14" t="s">
        <v>438</v>
      </c>
      <c r="J53" s="35">
        <v>40000</v>
      </c>
      <c r="K53" s="36" t="s">
        <v>16</v>
      </c>
      <c r="L53" s="36" t="s">
        <v>17</v>
      </c>
      <c r="M53" s="37">
        <v>26</v>
      </c>
      <c r="N53" s="36" t="s">
        <v>19</v>
      </c>
      <c r="O53" s="36"/>
      <c r="P53" s="37"/>
      <c r="Q53" s="120"/>
      <c r="R53" s="120"/>
      <c r="S53" s="120"/>
      <c r="T53" s="120"/>
      <c r="U53" s="15">
        <f>J53*M53</f>
        <v>1040000</v>
      </c>
      <c r="V53" s="496"/>
    </row>
    <row r="54" spans="2:22" ht="24.95" customHeight="1">
      <c r="B54" s="98"/>
      <c r="C54" s="120"/>
      <c r="D54" s="120"/>
      <c r="E54" s="10"/>
      <c r="F54" s="498"/>
      <c r="G54" s="10"/>
      <c r="H54" s="209"/>
      <c r="I54" s="14" t="s">
        <v>439</v>
      </c>
      <c r="J54" s="35">
        <v>1000000</v>
      </c>
      <c r="K54" s="36" t="s">
        <v>16</v>
      </c>
      <c r="L54" s="36" t="s">
        <v>17</v>
      </c>
      <c r="M54" s="37">
        <v>1</v>
      </c>
      <c r="N54" s="36" t="s">
        <v>20</v>
      </c>
      <c r="O54" s="36"/>
      <c r="P54" s="37"/>
      <c r="Q54" s="120"/>
      <c r="R54" s="120"/>
      <c r="S54" s="120"/>
      <c r="T54" s="120"/>
      <c r="U54" s="15">
        <f>J54*M54</f>
        <v>1000000</v>
      </c>
    </row>
    <row r="55" spans="2:22" ht="24.95" customHeight="1">
      <c r="B55" s="98"/>
      <c r="C55" s="120"/>
      <c r="D55" s="120"/>
      <c r="E55" s="10"/>
      <c r="F55" s="10"/>
      <c r="G55" s="10"/>
      <c r="H55" s="209"/>
      <c r="I55" s="1" t="s">
        <v>225</v>
      </c>
      <c r="J55" s="42">
        <v>100000</v>
      </c>
      <c r="K55" s="49" t="s">
        <v>16</v>
      </c>
      <c r="L55" s="36" t="s">
        <v>17</v>
      </c>
      <c r="M55" s="37">
        <v>4</v>
      </c>
      <c r="N55" s="49" t="s">
        <v>18</v>
      </c>
      <c r="O55" s="36"/>
      <c r="P55" s="37"/>
      <c r="Q55" s="120"/>
      <c r="R55" s="120"/>
      <c r="S55" s="120"/>
      <c r="T55" s="120"/>
      <c r="U55" s="15">
        <f>J55*M55</f>
        <v>400000</v>
      </c>
    </row>
    <row r="56" spans="2:22" ht="24.95" customHeight="1">
      <c r="B56" s="98"/>
      <c r="C56" s="120"/>
      <c r="D56" s="120" t="s">
        <v>29</v>
      </c>
      <c r="E56" s="10">
        <v>2300000</v>
      </c>
      <c r="F56" s="10">
        <f>U56</f>
        <v>1600000</v>
      </c>
      <c r="G56" s="10">
        <f>F56-E56</f>
        <v>-700000</v>
      </c>
      <c r="H56" s="209">
        <f t="shared" si="6"/>
        <v>-30.434782608695656</v>
      </c>
      <c r="I56" s="14" t="s">
        <v>29</v>
      </c>
      <c r="J56" s="35"/>
      <c r="K56" s="36"/>
      <c r="L56" s="36"/>
      <c r="M56" s="37"/>
      <c r="N56" s="49"/>
      <c r="O56" s="36"/>
      <c r="P56" s="37"/>
      <c r="Q56" s="120"/>
      <c r="R56" s="120"/>
      <c r="S56" s="120"/>
      <c r="T56" s="120"/>
      <c r="U56" s="15">
        <f>SUM(U57:U58)</f>
        <v>1600000</v>
      </c>
    </row>
    <row r="57" spans="2:22" ht="24.95" customHeight="1">
      <c r="B57" s="98"/>
      <c r="C57" s="120"/>
      <c r="D57" s="120"/>
      <c r="E57" s="10"/>
      <c r="F57" s="10"/>
      <c r="G57" s="10"/>
      <c r="H57" s="209"/>
      <c r="I57" s="1" t="s">
        <v>440</v>
      </c>
      <c r="J57" s="35">
        <v>100000</v>
      </c>
      <c r="K57" s="36" t="s">
        <v>16</v>
      </c>
      <c r="L57" s="36" t="s">
        <v>17</v>
      </c>
      <c r="M57" s="37">
        <v>12</v>
      </c>
      <c r="N57" s="49" t="s">
        <v>18</v>
      </c>
      <c r="O57" s="36"/>
      <c r="P57" s="37"/>
      <c r="Q57" s="120"/>
      <c r="R57" s="120"/>
      <c r="S57" s="120"/>
      <c r="T57" s="120"/>
      <c r="U57" s="15">
        <f>J57*M57</f>
        <v>1200000</v>
      </c>
    </row>
    <row r="58" spans="2:22" ht="24.95" customHeight="1">
      <c r="B58" s="98"/>
      <c r="C58" s="120"/>
      <c r="D58" s="120"/>
      <c r="E58" s="10"/>
      <c r="F58" s="10"/>
      <c r="G58" s="10"/>
      <c r="H58" s="209"/>
      <c r="I58" s="1" t="s">
        <v>441</v>
      </c>
      <c r="J58" s="35">
        <v>100000</v>
      </c>
      <c r="K58" s="49" t="s">
        <v>16</v>
      </c>
      <c r="L58" s="36" t="s">
        <v>17</v>
      </c>
      <c r="M58" s="37">
        <v>4</v>
      </c>
      <c r="N58" s="49" t="s">
        <v>20</v>
      </c>
      <c r="O58" s="36"/>
      <c r="P58" s="37"/>
      <c r="Q58" s="120"/>
      <c r="R58" s="120"/>
      <c r="S58" s="120"/>
      <c r="T58" s="120"/>
      <c r="U58" s="15">
        <f>J58*M58</f>
        <v>400000</v>
      </c>
    </row>
    <row r="59" spans="2:22" ht="24.95" customHeight="1">
      <c r="B59" s="98"/>
      <c r="C59" s="120"/>
      <c r="D59" s="107" t="s">
        <v>398</v>
      </c>
      <c r="E59" s="10">
        <v>7000000</v>
      </c>
      <c r="F59" s="10">
        <f>U59</f>
        <v>3200000</v>
      </c>
      <c r="G59" s="10">
        <f t="shared" ref="G59" si="8">F59-E59</f>
        <v>-3800000</v>
      </c>
      <c r="H59" s="209">
        <f t="shared" ref="H59" si="9">F59/E59*100-100</f>
        <v>-54.285714285714285</v>
      </c>
      <c r="I59" s="1" t="s">
        <v>398</v>
      </c>
      <c r="J59" s="35"/>
      <c r="K59" s="36"/>
      <c r="L59" s="36"/>
      <c r="M59" s="37"/>
      <c r="N59" s="49"/>
      <c r="O59" s="36"/>
      <c r="P59" s="37"/>
      <c r="Q59" s="120"/>
      <c r="R59" s="120"/>
      <c r="S59" s="120"/>
      <c r="T59" s="120"/>
      <c r="U59" s="15">
        <f>SUM(U60:U61)</f>
        <v>3200000</v>
      </c>
    </row>
    <row r="60" spans="2:22" ht="24.95" customHeight="1">
      <c r="B60" s="98"/>
      <c r="C60" s="94"/>
      <c r="D60" s="279"/>
      <c r="E60" s="10"/>
      <c r="F60" s="10"/>
      <c r="G60" s="10"/>
      <c r="H60" s="209"/>
      <c r="I60" s="1" t="s">
        <v>442</v>
      </c>
      <c r="J60" s="35">
        <v>500000</v>
      </c>
      <c r="K60" s="36" t="s">
        <v>16</v>
      </c>
      <c r="L60" s="49" t="s">
        <v>17</v>
      </c>
      <c r="M60" s="37">
        <v>4</v>
      </c>
      <c r="N60" s="49" t="s">
        <v>18</v>
      </c>
      <c r="O60" s="36" t="s">
        <v>1</v>
      </c>
      <c r="P60" s="37"/>
      <c r="Q60" s="120"/>
      <c r="R60" s="120"/>
      <c r="S60" s="120"/>
      <c r="T60" s="120"/>
      <c r="U60" s="15">
        <f>J60*M60</f>
        <v>2000000</v>
      </c>
    </row>
    <row r="61" spans="2:22" ht="24.95" customHeight="1">
      <c r="B61" s="98"/>
      <c r="C61" s="94"/>
      <c r="D61" s="279"/>
      <c r="E61" s="10"/>
      <c r="F61" s="10"/>
      <c r="G61" s="10"/>
      <c r="H61" s="209"/>
      <c r="I61" s="1" t="s">
        <v>443</v>
      </c>
      <c r="J61" s="35">
        <v>300000</v>
      </c>
      <c r="K61" s="49" t="s">
        <v>16</v>
      </c>
      <c r="L61" s="36" t="s">
        <v>17</v>
      </c>
      <c r="M61" s="37">
        <v>4</v>
      </c>
      <c r="N61" s="49" t="s">
        <v>20</v>
      </c>
      <c r="O61" s="36"/>
      <c r="P61" s="37"/>
      <c r="Q61" s="120"/>
      <c r="R61" s="120"/>
      <c r="S61" s="120"/>
      <c r="T61" s="120"/>
      <c r="U61" s="15">
        <f>J61*M61</f>
        <v>1200000</v>
      </c>
    </row>
    <row r="62" spans="2:22" ht="24.95" customHeight="1">
      <c r="B62" s="235" t="s">
        <v>66</v>
      </c>
      <c r="C62" s="499" t="s">
        <v>10</v>
      </c>
      <c r="D62" s="500"/>
      <c r="E62" s="501">
        <f>SUM(E63)</f>
        <v>4000000</v>
      </c>
      <c r="F62" s="501">
        <f>SUM(F63)</f>
        <v>3300000</v>
      </c>
      <c r="G62" s="501">
        <f t="shared" si="7"/>
        <v>-700000</v>
      </c>
      <c r="H62" s="502">
        <f t="shared" si="6"/>
        <v>-17.5</v>
      </c>
      <c r="I62" s="503"/>
      <c r="J62" s="504"/>
      <c r="K62" s="237"/>
      <c r="L62" s="237"/>
      <c r="M62" s="505"/>
      <c r="N62" s="237"/>
      <c r="O62" s="237"/>
      <c r="P62" s="505"/>
      <c r="Q62" s="237"/>
      <c r="R62" s="506"/>
      <c r="S62" s="506"/>
      <c r="T62" s="506"/>
      <c r="U62" s="507">
        <f>SUM(U63)</f>
        <v>3300000</v>
      </c>
    </row>
    <row r="63" spans="2:22" ht="24.95" customHeight="1">
      <c r="B63" s="235"/>
      <c r="C63" s="506" t="s">
        <v>67</v>
      </c>
      <c r="D63" s="107" t="s">
        <v>9</v>
      </c>
      <c r="E63" s="501">
        <v>4000000</v>
      </c>
      <c r="F63" s="501">
        <f>SUM(F65,F67,F64)</f>
        <v>3300000</v>
      </c>
      <c r="G63" s="10">
        <f t="shared" si="7"/>
        <v>-700000</v>
      </c>
      <c r="H63" s="502"/>
      <c r="I63" s="238"/>
      <c r="J63" s="504"/>
      <c r="K63" s="237"/>
      <c r="L63" s="237"/>
      <c r="M63" s="505"/>
      <c r="N63" s="237"/>
      <c r="O63" s="237"/>
      <c r="P63" s="505"/>
      <c r="Q63" s="237"/>
      <c r="R63" s="506"/>
      <c r="S63" s="506"/>
      <c r="T63" s="506"/>
      <c r="U63" s="507">
        <f>U64+U65+U67</f>
        <v>3300000</v>
      </c>
    </row>
    <row r="64" spans="2:22" ht="24.95" customHeight="1">
      <c r="B64" s="235"/>
      <c r="C64" s="506"/>
      <c r="D64" s="506" t="s">
        <v>67</v>
      </c>
      <c r="E64" s="501">
        <v>1000000</v>
      </c>
      <c r="F64" s="501">
        <f>U64</f>
        <v>1000000</v>
      </c>
      <c r="G64" s="10">
        <f t="shared" si="7"/>
        <v>0</v>
      </c>
      <c r="H64" s="502"/>
      <c r="I64" s="238" t="s">
        <v>67</v>
      </c>
      <c r="J64" s="504">
        <v>1000000</v>
      </c>
      <c r="K64" s="237" t="s">
        <v>16</v>
      </c>
      <c r="L64" s="237" t="s">
        <v>17</v>
      </c>
      <c r="M64" s="505">
        <v>1</v>
      </c>
      <c r="N64" s="237" t="s">
        <v>20</v>
      </c>
      <c r="O64" s="237"/>
      <c r="P64" s="505"/>
      <c r="Q64" s="237"/>
      <c r="R64" s="506"/>
      <c r="S64" s="506"/>
      <c r="T64" s="506"/>
      <c r="U64" s="507">
        <f>+J64*M64</f>
        <v>1000000</v>
      </c>
    </row>
    <row r="65" spans="2:21" ht="24.95" customHeight="1">
      <c r="B65" s="235"/>
      <c r="C65" s="506"/>
      <c r="D65" s="506" t="s">
        <v>68</v>
      </c>
      <c r="E65" s="501">
        <v>2000000</v>
      </c>
      <c r="F65" s="501">
        <f>U65</f>
        <v>1300000</v>
      </c>
      <c r="G65" s="10">
        <f t="shared" si="7"/>
        <v>-700000</v>
      </c>
      <c r="H65" s="502">
        <f t="shared" ref="H65:H70" si="10">F65/E65*100-100</f>
        <v>-35</v>
      </c>
      <c r="I65" s="238" t="s">
        <v>68</v>
      </c>
      <c r="J65" s="504"/>
      <c r="K65" s="237"/>
      <c r="L65" s="237"/>
      <c r="M65" s="505"/>
      <c r="N65" s="237"/>
      <c r="O65" s="237"/>
      <c r="P65" s="505"/>
      <c r="Q65" s="237"/>
      <c r="R65" s="506"/>
      <c r="S65" s="506"/>
      <c r="T65" s="506"/>
      <c r="U65" s="507">
        <f>SUM(U66:U66)</f>
        <v>1300000</v>
      </c>
    </row>
    <row r="66" spans="2:21" ht="24.95" customHeight="1">
      <c r="B66" s="235"/>
      <c r="C66" s="506"/>
      <c r="D66" s="506"/>
      <c r="E66" s="501"/>
      <c r="F66" s="501"/>
      <c r="G66" s="501"/>
      <c r="H66" s="502"/>
      <c r="I66" s="238" t="s">
        <v>444</v>
      </c>
      <c r="J66" s="504"/>
      <c r="K66" s="237"/>
      <c r="L66" s="237"/>
      <c r="M66" s="505"/>
      <c r="N66" s="237"/>
      <c r="O66" s="237"/>
      <c r="P66" s="505"/>
      <c r="Q66" s="237"/>
      <c r="R66" s="506"/>
      <c r="S66" s="506"/>
      <c r="T66" s="506"/>
      <c r="U66" s="507">
        <v>1300000</v>
      </c>
    </row>
    <row r="67" spans="2:21" ht="24.95" customHeight="1">
      <c r="B67" s="235"/>
      <c r="C67" s="506"/>
      <c r="D67" s="506" t="s">
        <v>70</v>
      </c>
      <c r="E67" s="501">
        <v>1000000</v>
      </c>
      <c r="F67" s="501">
        <f>U67</f>
        <v>1000000</v>
      </c>
      <c r="G67" s="501">
        <f t="shared" si="7"/>
        <v>0</v>
      </c>
      <c r="H67" s="502">
        <f t="shared" si="10"/>
        <v>0</v>
      </c>
      <c r="I67" s="238" t="s">
        <v>70</v>
      </c>
      <c r="J67" s="504">
        <v>1000000</v>
      </c>
      <c r="K67" s="237" t="s">
        <v>16</v>
      </c>
      <c r="L67" s="237" t="s">
        <v>17</v>
      </c>
      <c r="M67" s="505">
        <v>1</v>
      </c>
      <c r="N67" s="237" t="s">
        <v>18</v>
      </c>
      <c r="O67" s="237"/>
      <c r="P67" s="505"/>
      <c r="Q67" s="506"/>
      <c r="R67" s="506"/>
      <c r="S67" s="506"/>
      <c r="T67" s="506"/>
      <c r="U67" s="507">
        <f>+J67*M67</f>
        <v>1000000</v>
      </c>
    </row>
    <row r="68" spans="2:21" ht="24.95" customHeight="1">
      <c r="B68" s="65" t="s">
        <v>47</v>
      </c>
      <c r="C68" s="356" t="s">
        <v>10</v>
      </c>
      <c r="D68" s="358"/>
      <c r="E68" s="10">
        <f>E69+E82+E91</f>
        <v>23102000</v>
      </c>
      <c r="F68" s="10">
        <f>F69+F82+F91</f>
        <v>17550000</v>
      </c>
      <c r="G68" s="10">
        <f>G69+G82+G91</f>
        <v>-5552000</v>
      </c>
      <c r="H68" s="209">
        <f t="shared" si="10"/>
        <v>-24.032551294260244</v>
      </c>
      <c r="I68" s="14"/>
      <c r="J68" s="35"/>
      <c r="K68" s="508"/>
      <c r="L68" s="36"/>
      <c r="M68" s="37"/>
      <c r="N68" s="36"/>
      <c r="O68" s="36"/>
      <c r="P68" s="37"/>
      <c r="Q68" s="120"/>
      <c r="R68" s="120"/>
      <c r="S68" s="120"/>
      <c r="T68" s="120"/>
      <c r="U68" s="15">
        <f>U69+U82+U91</f>
        <v>17550000</v>
      </c>
    </row>
    <row r="69" spans="2:21" ht="30.75" customHeight="1">
      <c r="B69" s="98"/>
      <c r="C69" s="78" t="s">
        <v>445</v>
      </c>
      <c r="D69" s="107" t="s">
        <v>9</v>
      </c>
      <c r="E69" s="10">
        <v>5342000</v>
      </c>
      <c r="F69" s="10">
        <f>SUM(F70:F78)</f>
        <v>4880000</v>
      </c>
      <c r="G69" s="10">
        <f>F69-E69</f>
        <v>-462000</v>
      </c>
      <c r="H69" s="209">
        <f>F69/E69*100-100</f>
        <v>-8.6484462748034474</v>
      </c>
      <c r="I69" s="1"/>
      <c r="J69" s="35"/>
      <c r="K69" s="36"/>
      <c r="L69" s="36"/>
      <c r="M69" s="37"/>
      <c r="N69" s="36"/>
      <c r="O69" s="36"/>
      <c r="P69" s="37"/>
      <c r="Q69" s="36"/>
      <c r="R69" s="36"/>
      <c r="S69" s="37"/>
      <c r="T69" s="36"/>
      <c r="U69" s="15">
        <f>+U70+U71+U72+U73+U74+U77+U78</f>
        <v>4880000</v>
      </c>
    </row>
    <row r="70" spans="2:21" ht="24.95" customHeight="1">
      <c r="B70" s="98"/>
      <c r="C70" s="120"/>
      <c r="D70" s="120" t="s">
        <v>446</v>
      </c>
      <c r="E70" s="10">
        <v>100000</v>
      </c>
      <c r="F70" s="10">
        <f>U70</f>
        <v>330000</v>
      </c>
      <c r="G70" s="10">
        <f t="shared" si="7"/>
        <v>230000</v>
      </c>
      <c r="H70" s="209">
        <f t="shared" si="10"/>
        <v>230</v>
      </c>
      <c r="I70" s="509" t="s">
        <v>446</v>
      </c>
      <c r="J70" s="35">
        <v>330000</v>
      </c>
      <c r="K70" s="36" t="s">
        <v>16</v>
      </c>
      <c r="L70" s="36" t="s">
        <v>17</v>
      </c>
      <c r="M70" s="37">
        <v>1</v>
      </c>
      <c r="N70" s="36" t="s">
        <v>20</v>
      </c>
      <c r="O70" s="36"/>
      <c r="P70" s="37"/>
      <c r="Q70" s="36"/>
      <c r="R70" s="36"/>
      <c r="S70" s="37"/>
      <c r="T70" s="36"/>
      <c r="U70" s="15">
        <f>M70*J70</f>
        <v>330000</v>
      </c>
    </row>
    <row r="71" spans="2:21" ht="24.95" customHeight="1">
      <c r="B71" s="98"/>
      <c r="C71" s="120"/>
      <c r="D71" s="120" t="s">
        <v>447</v>
      </c>
      <c r="E71" s="10">
        <v>480000</v>
      </c>
      <c r="F71" s="10">
        <f>U71</f>
        <v>700000</v>
      </c>
      <c r="G71" s="10">
        <f t="shared" si="7"/>
        <v>220000</v>
      </c>
      <c r="H71" s="209"/>
      <c r="I71" s="509" t="s">
        <v>447</v>
      </c>
      <c r="J71" s="35">
        <v>20000</v>
      </c>
      <c r="K71" s="36" t="s">
        <v>16</v>
      </c>
      <c r="L71" s="36" t="s">
        <v>17</v>
      </c>
      <c r="M71" s="37">
        <v>35</v>
      </c>
      <c r="N71" s="36" t="s">
        <v>19</v>
      </c>
      <c r="O71" s="36" t="s">
        <v>17</v>
      </c>
      <c r="P71" s="37">
        <v>1</v>
      </c>
      <c r="Q71" s="36" t="s">
        <v>20</v>
      </c>
      <c r="R71" s="36"/>
      <c r="S71" s="37"/>
      <c r="T71" s="36"/>
      <c r="U71" s="15">
        <f>J71*M71*P71</f>
        <v>700000</v>
      </c>
    </row>
    <row r="72" spans="2:21" ht="24.95" customHeight="1">
      <c r="B72" s="98"/>
      <c r="C72" s="120"/>
      <c r="D72" s="120" t="s">
        <v>448</v>
      </c>
      <c r="E72" s="10">
        <v>384000</v>
      </c>
      <c r="F72" s="10">
        <f>U72</f>
        <v>700000</v>
      </c>
      <c r="G72" s="10">
        <f t="shared" si="7"/>
        <v>316000</v>
      </c>
      <c r="H72" s="209"/>
      <c r="I72" s="509" t="s">
        <v>448</v>
      </c>
      <c r="J72" s="35">
        <v>20000</v>
      </c>
      <c r="K72" s="36" t="s">
        <v>16</v>
      </c>
      <c r="L72" s="36" t="s">
        <v>17</v>
      </c>
      <c r="M72" s="37">
        <v>35</v>
      </c>
      <c r="N72" s="36" t="s">
        <v>19</v>
      </c>
      <c r="O72" s="36" t="s">
        <v>17</v>
      </c>
      <c r="P72" s="37">
        <v>1</v>
      </c>
      <c r="Q72" s="36" t="s">
        <v>20</v>
      </c>
      <c r="R72" s="36"/>
      <c r="S72" s="37"/>
      <c r="T72" s="36"/>
      <c r="U72" s="15">
        <f>J72*M72*P72</f>
        <v>700000</v>
      </c>
    </row>
    <row r="73" spans="2:21" ht="24.95" customHeight="1">
      <c r="B73" s="98"/>
      <c r="C73" s="120"/>
      <c r="D73" s="120" t="s">
        <v>449</v>
      </c>
      <c r="E73" s="10">
        <v>1408000</v>
      </c>
      <c r="F73" s="10">
        <f>U73</f>
        <v>1400000</v>
      </c>
      <c r="G73" s="10">
        <f t="shared" si="7"/>
        <v>-8000</v>
      </c>
      <c r="H73" s="209">
        <f>F73/E73*100-100</f>
        <v>-0.56818181818182723</v>
      </c>
      <c r="I73" s="509" t="s">
        <v>449</v>
      </c>
      <c r="J73" s="35">
        <v>20000</v>
      </c>
      <c r="K73" s="36" t="s">
        <v>16</v>
      </c>
      <c r="L73" s="36" t="s">
        <v>17</v>
      </c>
      <c r="M73" s="37">
        <v>35</v>
      </c>
      <c r="N73" s="36" t="s">
        <v>19</v>
      </c>
      <c r="O73" s="36" t="s">
        <v>17</v>
      </c>
      <c r="P73" s="37">
        <v>2</v>
      </c>
      <c r="Q73" s="120" t="s">
        <v>20</v>
      </c>
      <c r="R73" s="120"/>
      <c r="S73" s="120"/>
      <c r="T73" s="120"/>
      <c r="U73" s="15">
        <f>P73*M73*J73</f>
        <v>1400000</v>
      </c>
    </row>
    <row r="74" spans="2:21" ht="24.95" customHeight="1">
      <c r="B74" s="98"/>
      <c r="C74" s="120"/>
      <c r="D74" s="120" t="s">
        <v>450</v>
      </c>
      <c r="E74" s="10">
        <v>1500000</v>
      </c>
      <c r="F74" s="10">
        <f>U74</f>
        <v>800000</v>
      </c>
      <c r="G74" s="10">
        <f t="shared" si="7"/>
        <v>-700000</v>
      </c>
      <c r="H74" s="209"/>
      <c r="I74" s="509" t="s">
        <v>450</v>
      </c>
      <c r="J74" s="35"/>
      <c r="K74" s="36"/>
      <c r="L74" s="36"/>
      <c r="M74" s="37"/>
      <c r="N74" s="36"/>
      <c r="O74" s="36"/>
      <c r="P74" s="37"/>
      <c r="Q74" s="120"/>
      <c r="R74" s="120"/>
      <c r="S74" s="120"/>
      <c r="T74" s="120"/>
      <c r="U74" s="15">
        <f>U75+U76</f>
        <v>800000</v>
      </c>
    </row>
    <row r="75" spans="2:21" ht="24.95" customHeight="1">
      <c r="B75" s="98"/>
      <c r="C75" s="120"/>
      <c r="D75" s="120"/>
      <c r="E75" s="10"/>
      <c r="F75" s="10"/>
      <c r="G75" s="10">
        <f t="shared" si="7"/>
        <v>0</v>
      </c>
      <c r="H75" s="209"/>
      <c r="I75" s="509" t="s">
        <v>212</v>
      </c>
      <c r="J75" s="35">
        <v>20000</v>
      </c>
      <c r="K75" s="36" t="s">
        <v>16</v>
      </c>
      <c r="L75" s="36" t="s">
        <v>17</v>
      </c>
      <c r="M75" s="37">
        <v>20</v>
      </c>
      <c r="N75" s="36" t="s">
        <v>19</v>
      </c>
      <c r="O75" s="36" t="s">
        <v>17</v>
      </c>
      <c r="P75" s="37">
        <v>1</v>
      </c>
      <c r="Q75" s="120" t="s">
        <v>20</v>
      </c>
      <c r="R75" s="120"/>
      <c r="S75" s="120"/>
      <c r="T75" s="120"/>
      <c r="U75" s="15">
        <f>P75*M75*J75</f>
        <v>400000</v>
      </c>
    </row>
    <row r="76" spans="2:21" ht="24.95" customHeight="1">
      <c r="B76" s="98"/>
      <c r="C76" s="120"/>
      <c r="D76" s="120"/>
      <c r="E76" s="10"/>
      <c r="F76" s="10"/>
      <c r="G76" s="10">
        <f t="shared" si="7"/>
        <v>0</v>
      </c>
      <c r="H76" s="209"/>
      <c r="I76" s="509" t="s">
        <v>213</v>
      </c>
      <c r="J76" s="35">
        <v>20000</v>
      </c>
      <c r="K76" s="36" t="s">
        <v>16</v>
      </c>
      <c r="L76" s="36" t="s">
        <v>17</v>
      </c>
      <c r="M76" s="37">
        <v>20</v>
      </c>
      <c r="N76" s="36" t="s">
        <v>19</v>
      </c>
      <c r="O76" s="36" t="s">
        <v>17</v>
      </c>
      <c r="P76" s="37">
        <v>1</v>
      </c>
      <c r="Q76" s="120" t="s">
        <v>20</v>
      </c>
      <c r="R76" s="120"/>
      <c r="S76" s="120"/>
      <c r="T76" s="120"/>
      <c r="U76" s="15">
        <f>P76*M76*J76</f>
        <v>400000</v>
      </c>
    </row>
    <row r="77" spans="2:21" ht="24.95" customHeight="1">
      <c r="B77" s="98"/>
      <c r="C77" s="120"/>
      <c r="D77" s="120" t="s">
        <v>451</v>
      </c>
      <c r="E77" s="10">
        <v>320000</v>
      </c>
      <c r="F77" s="10">
        <f>U77</f>
        <v>350000</v>
      </c>
      <c r="G77" s="10">
        <f t="shared" si="7"/>
        <v>30000</v>
      </c>
      <c r="H77" s="209">
        <f t="shared" ref="H77:H78" si="11">F77/E77*100-100</f>
        <v>9.375</v>
      </c>
      <c r="I77" s="509" t="s">
        <v>451</v>
      </c>
      <c r="J77" s="35">
        <v>10000</v>
      </c>
      <c r="K77" s="36" t="s">
        <v>16</v>
      </c>
      <c r="L77" s="36" t="s">
        <v>17</v>
      </c>
      <c r="M77" s="37">
        <v>35</v>
      </c>
      <c r="N77" s="36" t="s">
        <v>19</v>
      </c>
      <c r="O77" s="36" t="s">
        <v>17</v>
      </c>
      <c r="P77" s="37">
        <v>1</v>
      </c>
      <c r="Q77" s="120" t="s">
        <v>20</v>
      </c>
      <c r="R77" s="120"/>
      <c r="S77" s="120"/>
      <c r="T77" s="120"/>
      <c r="U77" s="15">
        <f>P77*M77*J77</f>
        <v>350000</v>
      </c>
    </row>
    <row r="78" spans="2:21" ht="24.95" customHeight="1">
      <c r="B78" s="98"/>
      <c r="C78" s="120"/>
      <c r="D78" s="120" t="s">
        <v>452</v>
      </c>
      <c r="E78" s="10">
        <v>1150000</v>
      </c>
      <c r="F78" s="10">
        <f>U78</f>
        <v>600000</v>
      </c>
      <c r="G78" s="10">
        <f t="shared" si="7"/>
        <v>-550000</v>
      </c>
      <c r="H78" s="209">
        <f t="shared" si="11"/>
        <v>-47.826086956521742</v>
      </c>
      <c r="I78" s="509" t="s">
        <v>452</v>
      </c>
      <c r="J78" s="35"/>
      <c r="K78" s="36"/>
      <c r="L78" s="36"/>
      <c r="M78" s="37"/>
      <c r="N78" s="36"/>
      <c r="O78" s="36"/>
      <c r="P78" s="37"/>
      <c r="Q78" s="120"/>
      <c r="R78" s="120"/>
      <c r="S78" s="120"/>
      <c r="T78" s="120"/>
      <c r="U78" s="15">
        <f>SUM(U79:U81)</f>
        <v>600000</v>
      </c>
    </row>
    <row r="79" spans="2:21" ht="24.95" customHeight="1">
      <c r="B79" s="98"/>
      <c r="C79" s="120"/>
      <c r="D79" s="120"/>
      <c r="E79" s="10"/>
      <c r="F79" s="10"/>
      <c r="G79" s="10">
        <f t="shared" si="7"/>
        <v>0</v>
      </c>
      <c r="H79" s="209"/>
      <c r="I79" s="509" t="s">
        <v>453</v>
      </c>
      <c r="J79" s="37">
        <v>50000</v>
      </c>
      <c r="K79" s="36" t="s">
        <v>16</v>
      </c>
      <c r="L79" s="36" t="s">
        <v>17</v>
      </c>
      <c r="M79" s="37">
        <v>6</v>
      </c>
      <c r="N79" s="36" t="s">
        <v>19</v>
      </c>
      <c r="O79" s="36" t="s">
        <v>17</v>
      </c>
      <c r="P79" s="37">
        <v>1</v>
      </c>
      <c r="Q79" s="120" t="s">
        <v>20</v>
      </c>
      <c r="R79" s="120"/>
      <c r="S79" s="120"/>
      <c r="T79" s="120"/>
      <c r="U79" s="15">
        <f>J79*M79*P79</f>
        <v>300000</v>
      </c>
    </row>
    <row r="80" spans="2:21" ht="24.95" customHeight="1">
      <c r="B80" s="98"/>
      <c r="C80" s="120"/>
      <c r="D80" s="120"/>
      <c r="E80" s="10"/>
      <c r="F80" s="10"/>
      <c r="G80" s="10">
        <f t="shared" si="7"/>
        <v>0</v>
      </c>
      <c r="H80" s="209"/>
      <c r="I80" s="509" t="s">
        <v>454</v>
      </c>
      <c r="J80" s="35">
        <v>20000</v>
      </c>
      <c r="K80" s="36" t="s">
        <v>16</v>
      </c>
      <c r="L80" s="36" t="s">
        <v>17</v>
      </c>
      <c r="M80" s="37">
        <v>5</v>
      </c>
      <c r="N80" s="36" t="s">
        <v>19</v>
      </c>
      <c r="O80" s="36" t="s">
        <v>17</v>
      </c>
      <c r="P80" s="37">
        <v>1</v>
      </c>
      <c r="Q80" s="120" t="s">
        <v>20</v>
      </c>
      <c r="R80" s="120"/>
      <c r="S80" s="120"/>
      <c r="T80" s="120"/>
      <c r="U80" s="15">
        <f>M80*J80*P80</f>
        <v>100000</v>
      </c>
    </row>
    <row r="81" spans="2:21" ht="24.95" customHeight="1">
      <c r="B81" s="98"/>
      <c r="C81" s="120"/>
      <c r="D81" s="120"/>
      <c r="E81" s="10"/>
      <c r="F81" s="10"/>
      <c r="G81" s="10">
        <f t="shared" si="7"/>
        <v>0</v>
      </c>
      <c r="H81" s="209"/>
      <c r="I81" s="509" t="s">
        <v>455</v>
      </c>
      <c r="J81" s="35"/>
      <c r="K81" s="36"/>
      <c r="L81" s="36"/>
      <c r="M81" s="37"/>
      <c r="N81" s="36"/>
      <c r="O81" s="36"/>
      <c r="P81" s="37"/>
      <c r="Q81" s="120"/>
      <c r="R81" s="120"/>
      <c r="S81" s="120"/>
      <c r="T81" s="120"/>
      <c r="U81" s="15">
        <v>200000</v>
      </c>
    </row>
    <row r="82" spans="2:21" ht="30" customHeight="1">
      <c r="B82" s="98"/>
      <c r="C82" s="510" t="s">
        <v>402</v>
      </c>
      <c r="D82" s="120" t="s">
        <v>9</v>
      </c>
      <c r="E82" s="10">
        <f>SUM(E83,E87,E90)</f>
        <v>11660000</v>
      </c>
      <c r="F82" s="10">
        <f>SUM(F83,F87,F90)</f>
        <v>10420000</v>
      </c>
      <c r="G82" s="10">
        <f t="shared" si="7"/>
        <v>-1240000</v>
      </c>
      <c r="H82" s="209">
        <f t="shared" ref="H82:H87" si="12">F82/E82*100-100</f>
        <v>-10.63464837049743</v>
      </c>
      <c r="I82" s="14"/>
      <c r="J82" s="35"/>
      <c r="K82" s="36"/>
      <c r="L82" s="36"/>
      <c r="M82" s="37"/>
      <c r="N82" s="36"/>
      <c r="O82" s="36"/>
      <c r="P82" s="37"/>
      <c r="Q82" s="120"/>
      <c r="R82" s="120"/>
      <c r="S82" s="120"/>
      <c r="T82" s="120"/>
      <c r="U82" s="15">
        <f>+U83+U87+U90</f>
        <v>10420000</v>
      </c>
    </row>
    <row r="83" spans="2:21" ht="24.95" customHeight="1">
      <c r="B83" s="98"/>
      <c r="C83" s="120"/>
      <c r="D83" s="120" t="s">
        <v>456</v>
      </c>
      <c r="E83" s="10">
        <v>5400000</v>
      </c>
      <c r="F83" s="10">
        <f>U83</f>
        <v>3900000</v>
      </c>
      <c r="G83" s="10">
        <f t="shared" si="7"/>
        <v>-1500000</v>
      </c>
      <c r="H83" s="209">
        <f t="shared" si="12"/>
        <v>-27.777777777777786</v>
      </c>
      <c r="I83" s="509" t="s">
        <v>456</v>
      </c>
      <c r="J83" s="35"/>
      <c r="K83" s="36"/>
      <c r="L83" s="36"/>
      <c r="M83" s="37"/>
      <c r="N83" s="36"/>
      <c r="O83" s="36"/>
      <c r="P83" s="37"/>
      <c r="Q83" s="36"/>
      <c r="R83" s="120"/>
      <c r="S83" s="120"/>
      <c r="T83" s="120"/>
      <c r="U83" s="15">
        <f>SUM(U84:U86)</f>
        <v>3900000</v>
      </c>
    </row>
    <row r="84" spans="2:21" ht="24.95" customHeight="1">
      <c r="B84" s="98"/>
      <c r="C84" s="120"/>
      <c r="D84" s="120"/>
      <c r="E84" s="10"/>
      <c r="F84" s="10"/>
      <c r="G84" s="10"/>
      <c r="H84" s="209"/>
      <c r="I84" s="509" t="s">
        <v>457</v>
      </c>
      <c r="J84" s="35">
        <v>100000</v>
      </c>
      <c r="K84" s="36" t="s">
        <v>16</v>
      </c>
      <c r="L84" s="36" t="s">
        <v>17</v>
      </c>
      <c r="M84" s="37">
        <v>4</v>
      </c>
      <c r="N84" s="120" t="s">
        <v>19</v>
      </c>
      <c r="O84" s="36"/>
      <c r="P84" s="37"/>
      <c r="Q84" s="36"/>
      <c r="R84" s="120"/>
      <c r="S84" s="120"/>
      <c r="T84" s="120"/>
      <c r="U84" s="15">
        <f>M84*J84</f>
        <v>400000</v>
      </c>
    </row>
    <row r="85" spans="2:21" ht="24.95" customHeight="1">
      <c r="B85" s="98"/>
      <c r="C85" s="120"/>
      <c r="D85" s="120"/>
      <c r="E85" s="10"/>
      <c r="F85" s="10"/>
      <c r="G85" s="10"/>
      <c r="H85" s="209"/>
      <c r="I85" s="511" t="s">
        <v>458</v>
      </c>
      <c r="J85" s="35">
        <v>2000000</v>
      </c>
      <c r="K85" s="36" t="s">
        <v>16</v>
      </c>
      <c r="L85" s="36" t="s">
        <v>17</v>
      </c>
      <c r="M85" s="37">
        <v>1</v>
      </c>
      <c r="N85" s="120" t="s">
        <v>20</v>
      </c>
      <c r="O85" s="36"/>
      <c r="P85" s="37"/>
      <c r="Q85" s="120"/>
      <c r="R85" s="120"/>
      <c r="S85" s="120"/>
      <c r="T85" s="120"/>
      <c r="U85" s="15">
        <f>J85*M85</f>
        <v>2000000</v>
      </c>
    </row>
    <row r="86" spans="2:21" ht="24.95" customHeight="1">
      <c r="B86" s="98"/>
      <c r="C86" s="120"/>
      <c r="D86" s="120"/>
      <c r="E86" s="10"/>
      <c r="F86" s="10"/>
      <c r="G86" s="10"/>
      <c r="H86" s="209"/>
      <c r="I86" s="511" t="s">
        <v>455</v>
      </c>
      <c r="J86" s="35">
        <v>300000</v>
      </c>
      <c r="K86" s="36" t="s">
        <v>16</v>
      </c>
      <c r="L86" s="36" t="s">
        <v>17</v>
      </c>
      <c r="M86" s="37">
        <v>5</v>
      </c>
      <c r="N86" s="120" t="s">
        <v>20</v>
      </c>
      <c r="O86" s="36"/>
      <c r="P86" s="37"/>
      <c r="Q86" s="120"/>
      <c r="R86" s="120"/>
      <c r="S86" s="120"/>
      <c r="T86" s="120"/>
      <c r="U86" s="15">
        <f>J86*M86</f>
        <v>1500000</v>
      </c>
    </row>
    <row r="87" spans="2:21" ht="24.95" customHeight="1">
      <c r="B87" s="98"/>
      <c r="C87" s="120"/>
      <c r="D87" s="120" t="s">
        <v>459</v>
      </c>
      <c r="E87" s="10">
        <v>4700000</v>
      </c>
      <c r="F87" s="10">
        <f>U87</f>
        <v>4960000</v>
      </c>
      <c r="G87" s="10">
        <f t="shared" si="7"/>
        <v>260000</v>
      </c>
      <c r="H87" s="209">
        <f t="shared" si="12"/>
        <v>5.5319148936170137</v>
      </c>
      <c r="I87" s="509" t="s">
        <v>459</v>
      </c>
      <c r="J87" s="35"/>
      <c r="K87" s="36"/>
      <c r="L87" s="36"/>
      <c r="M87" s="37"/>
      <c r="N87" s="36"/>
      <c r="O87" s="36" t="s">
        <v>1</v>
      </c>
      <c r="P87" s="37" t="s">
        <v>1</v>
      </c>
      <c r="Q87" s="120" t="s">
        <v>1</v>
      </c>
      <c r="R87" s="120"/>
      <c r="S87" s="120"/>
      <c r="T87" s="120"/>
      <c r="U87" s="15">
        <f>SUM(U88:U89)</f>
        <v>4960000</v>
      </c>
    </row>
    <row r="88" spans="2:21" ht="24.95" customHeight="1">
      <c r="B88" s="98"/>
      <c r="C88" s="120"/>
      <c r="D88" s="120"/>
      <c r="E88" s="10"/>
      <c r="F88" s="10"/>
      <c r="G88" s="10"/>
      <c r="H88" s="209"/>
      <c r="I88" s="509" t="s">
        <v>415</v>
      </c>
      <c r="J88" s="35">
        <v>80000</v>
      </c>
      <c r="K88" s="36" t="s">
        <v>16</v>
      </c>
      <c r="L88" s="36" t="s">
        <v>17</v>
      </c>
      <c r="M88" s="37">
        <v>26</v>
      </c>
      <c r="N88" s="120" t="s">
        <v>19</v>
      </c>
      <c r="O88" s="36" t="s">
        <v>17</v>
      </c>
      <c r="P88" s="37">
        <v>2</v>
      </c>
      <c r="Q88" s="36" t="s">
        <v>20</v>
      </c>
      <c r="R88" s="120"/>
      <c r="S88" s="120"/>
      <c r="T88" s="120"/>
      <c r="U88" s="15">
        <f>P88*M88*J88</f>
        <v>4160000</v>
      </c>
    </row>
    <row r="89" spans="2:21" ht="24.95" customHeight="1">
      <c r="B89" s="98"/>
      <c r="C89" s="120"/>
      <c r="D89" s="120"/>
      <c r="E89" s="10"/>
      <c r="F89" s="10"/>
      <c r="G89" s="10"/>
      <c r="H89" s="209"/>
      <c r="I89" s="509" t="s">
        <v>460</v>
      </c>
      <c r="J89" s="35">
        <v>200000</v>
      </c>
      <c r="K89" s="36" t="s">
        <v>16</v>
      </c>
      <c r="L89" s="36" t="s">
        <v>17</v>
      </c>
      <c r="M89" s="37">
        <v>4</v>
      </c>
      <c r="N89" s="107" t="s">
        <v>20</v>
      </c>
      <c r="O89" s="36"/>
      <c r="P89" s="37"/>
      <c r="Q89" s="36"/>
      <c r="R89" s="120"/>
      <c r="S89" s="120"/>
      <c r="T89" s="120"/>
      <c r="U89" s="15">
        <f>M89*J89</f>
        <v>800000</v>
      </c>
    </row>
    <row r="90" spans="2:21" ht="24.95" customHeight="1">
      <c r="B90" s="98"/>
      <c r="C90" s="120"/>
      <c r="D90" s="120" t="s">
        <v>405</v>
      </c>
      <c r="E90" s="10">
        <v>1560000</v>
      </c>
      <c r="F90" s="10">
        <f>U90</f>
        <v>1560000</v>
      </c>
      <c r="G90" s="10">
        <f>F90-E90</f>
        <v>0</v>
      </c>
      <c r="H90" s="209"/>
      <c r="I90" s="511" t="s">
        <v>405</v>
      </c>
      <c r="J90" s="35">
        <v>130000</v>
      </c>
      <c r="K90" s="36" t="s">
        <v>16</v>
      </c>
      <c r="L90" s="36" t="s">
        <v>17</v>
      </c>
      <c r="M90" s="37">
        <v>12</v>
      </c>
      <c r="N90" s="120" t="s">
        <v>20</v>
      </c>
      <c r="O90" s="36"/>
      <c r="P90" s="37"/>
      <c r="Q90" s="36"/>
      <c r="R90" s="120"/>
      <c r="S90" s="120"/>
      <c r="T90" s="120"/>
      <c r="U90" s="15">
        <f>J90*M90</f>
        <v>1560000</v>
      </c>
    </row>
    <row r="91" spans="2:21" ht="30" customHeight="1">
      <c r="B91" s="98"/>
      <c r="C91" s="510" t="s">
        <v>31</v>
      </c>
      <c r="D91" s="120" t="s">
        <v>9</v>
      </c>
      <c r="E91" s="10">
        <v>6100000</v>
      </c>
      <c r="F91" s="10">
        <f>SUM(F92:F96)</f>
        <v>2250000</v>
      </c>
      <c r="G91" s="10">
        <f t="shared" si="7"/>
        <v>-3850000</v>
      </c>
      <c r="H91" s="209">
        <f>F91/E91*100-100</f>
        <v>-63.114754098360656</v>
      </c>
      <c r="I91" s="14"/>
      <c r="J91" s="35"/>
      <c r="K91" s="36"/>
      <c r="L91" s="36"/>
      <c r="M91" s="37"/>
      <c r="N91" s="36"/>
      <c r="O91" s="36"/>
      <c r="P91" s="37"/>
      <c r="Q91" s="120" t="s">
        <v>1</v>
      </c>
      <c r="R91" s="120"/>
      <c r="S91" s="120"/>
      <c r="T91" s="120"/>
      <c r="U91" s="15">
        <f>SUM(U92:U96)</f>
        <v>2250000</v>
      </c>
    </row>
    <row r="92" spans="2:21" ht="24.95" customHeight="1">
      <c r="B92" s="98"/>
      <c r="C92" s="120"/>
      <c r="D92" s="120" t="s">
        <v>461</v>
      </c>
      <c r="E92" s="10">
        <v>3000000</v>
      </c>
      <c r="F92" s="10">
        <f t="shared" ref="F92:F97" si="13">U92</f>
        <v>400000</v>
      </c>
      <c r="G92" s="10">
        <f t="shared" si="7"/>
        <v>-2600000</v>
      </c>
      <c r="H92" s="209"/>
      <c r="I92" s="509" t="s">
        <v>461</v>
      </c>
      <c r="J92" s="35">
        <v>100000</v>
      </c>
      <c r="K92" s="36" t="s">
        <v>16</v>
      </c>
      <c r="L92" s="36" t="s">
        <v>17</v>
      </c>
      <c r="M92" s="37">
        <v>4</v>
      </c>
      <c r="N92" s="36" t="s">
        <v>224</v>
      </c>
      <c r="O92" s="36" t="s">
        <v>1</v>
      </c>
      <c r="P92" s="37" t="s">
        <v>1</v>
      </c>
      <c r="Q92" s="120" t="s">
        <v>1</v>
      </c>
      <c r="R92" s="120"/>
      <c r="S92" s="120"/>
      <c r="T92" s="120"/>
      <c r="U92" s="15">
        <f>M92*J92</f>
        <v>400000</v>
      </c>
    </row>
    <row r="93" spans="2:21" ht="24.95" customHeight="1">
      <c r="B93" s="98"/>
      <c r="C93" s="120"/>
      <c r="D93" s="120" t="s">
        <v>462</v>
      </c>
      <c r="E93" s="10">
        <v>500000</v>
      </c>
      <c r="F93" s="10">
        <f t="shared" si="13"/>
        <v>200000</v>
      </c>
      <c r="G93" s="10">
        <f t="shared" si="7"/>
        <v>-300000</v>
      </c>
      <c r="H93" s="209"/>
      <c r="I93" s="509" t="s">
        <v>462</v>
      </c>
      <c r="J93" s="35">
        <v>200000</v>
      </c>
      <c r="K93" s="36" t="s">
        <v>16</v>
      </c>
      <c r="L93" s="36" t="s">
        <v>17</v>
      </c>
      <c r="M93" s="37">
        <v>1</v>
      </c>
      <c r="N93" s="36" t="s">
        <v>20</v>
      </c>
      <c r="O93" s="36"/>
      <c r="P93" s="37"/>
      <c r="Q93" s="36"/>
      <c r="R93" s="120"/>
      <c r="S93" s="37"/>
      <c r="T93" s="36"/>
      <c r="U93" s="15">
        <f>J93*M93</f>
        <v>200000</v>
      </c>
    </row>
    <row r="94" spans="2:21" ht="24.95" customHeight="1">
      <c r="B94" s="98"/>
      <c r="C94" s="120"/>
      <c r="D94" s="107" t="s">
        <v>463</v>
      </c>
      <c r="E94" s="10">
        <v>2500000</v>
      </c>
      <c r="F94" s="10">
        <f t="shared" si="13"/>
        <v>0</v>
      </c>
      <c r="G94" s="10">
        <f t="shared" si="7"/>
        <v>-2500000</v>
      </c>
      <c r="H94" s="209"/>
      <c r="I94" s="509"/>
      <c r="J94" s="35"/>
      <c r="K94" s="36"/>
      <c r="L94" s="36"/>
      <c r="M94" s="37"/>
      <c r="N94" s="120"/>
      <c r="O94" s="36"/>
      <c r="P94" s="37"/>
      <c r="Q94" s="120"/>
      <c r="R94" s="120"/>
      <c r="S94" s="120"/>
      <c r="T94" s="120"/>
      <c r="U94" s="15"/>
    </row>
    <row r="95" spans="2:21" ht="24.95" customHeight="1">
      <c r="B95" s="98"/>
      <c r="C95" s="120"/>
      <c r="D95" s="107" t="s">
        <v>464</v>
      </c>
      <c r="E95" s="10"/>
      <c r="F95" s="10">
        <f t="shared" si="13"/>
        <v>1600000</v>
      </c>
      <c r="G95" s="10">
        <f t="shared" si="7"/>
        <v>1600000</v>
      </c>
      <c r="H95" s="209"/>
      <c r="I95" s="511" t="s">
        <v>465</v>
      </c>
      <c r="J95" s="35">
        <v>200000</v>
      </c>
      <c r="K95" s="36" t="s">
        <v>16</v>
      </c>
      <c r="L95" s="36" t="s">
        <v>17</v>
      </c>
      <c r="M95" s="37">
        <v>2</v>
      </c>
      <c r="N95" s="107" t="s">
        <v>19</v>
      </c>
      <c r="O95" s="36" t="s">
        <v>17</v>
      </c>
      <c r="P95" s="37">
        <v>4</v>
      </c>
      <c r="Q95" s="36" t="s">
        <v>20</v>
      </c>
      <c r="R95" s="120"/>
      <c r="S95" s="37"/>
      <c r="T95" s="36"/>
      <c r="U95" s="15">
        <f>P95*M95*J95</f>
        <v>1600000</v>
      </c>
    </row>
    <row r="96" spans="2:21" ht="24.95" customHeight="1">
      <c r="B96" s="98"/>
      <c r="C96" s="120"/>
      <c r="D96" s="107" t="s">
        <v>466</v>
      </c>
      <c r="E96" s="10">
        <v>100000</v>
      </c>
      <c r="F96" s="10">
        <f t="shared" si="13"/>
        <v>50000</v>
      </c>
      <c r="G96" s="10">
        <f>F96-E96</f>
        <v>-50000</v>
      </c>
      <c r="H96" s="209">
        <f>F96/E96*100-100</f>
        <v>-50</v>
      </c>
      <c r="I96" s="511" t="s">
        <v>466</v>
      </c>
      <c r="J96" s="35">
        <v>50000</v>
      </c>
      <c r="K96" s="49" t="s">
        <v>16</v>
      </c>
      <c r="L96" s="36" t="s">
        <v>17</v>
      </c>
      <c r="M96" s="37">
        <v>1</v>
      </c>
      <c r="N96" s="49" t="s">
        <v>20</v>
      </c>
      <c r="O96" s="36"/>
      <c r="P96" s="37"/>
      <c r="Q96" s="107"/>
      <c r="R96" s="120"/>
      <c r="S96" s="120"/>
      <c r="T96" s="120"/>
      <c r="U96" s="15">
        <f>M96*J96</f>
        <v>50000</v>
      </c>
    </row>
    <row r="97" spans="2:22" s="497" customFormat="1" ht="24.95" customHeight="1">
      <c r="B97" s="98" t="s">
        <v>408</v>
      </c>
      <c r="C97" s="398" t="s">
        <v>10</v>
      </c>
      <c r="D97" s="358"/>
      <c r="E97" s="10">
        <v>20532000</v>
      </c>
      <c r="F97" s="10">
        <f t="shared" si="13"/>
        <v>38472000</v>
      </c>
      <c r="G97" s="10">
        <f t="shared" ref="G97:G117" si="14">F97-E97</f>
        <v>17940000</v>
      </c>
      <c r="H97" s="209">
        <f t="shared" ref="H97:H99" si="15">F97/E97*100-100</f>
        <v>87.375803623611915</v>
      </c>
      <c r="I97" s="14"/>
      <c r="J97" s="35"/>
      <c r="K97" s="36"/>
      <c r="L97" s="36"/>
      <c r="M97" s="37"/>
      <c r="N97" s="36"/>
      <c r="O97" s="36"/>
      <c r="P97" s="37"/>
      <c r="Q97" s="120"/>
      <c r="R97" s="120"/>
      <c r="S97" s="120"/>
      <c r="T97" s="120"/>
      <c r="U97" s="15">
        <f>U98</f>
        <v>38472000</v>
      </c>
      <c r="V97" s="496"/>
    </row>
    <row r="98" spans="2:22" s="497" customFormat="1" ht="24.95" customHeight="1">
      <c r="B98" s="98"/>
      <c r="C98" s="120" t="s">
        <v>408</v>
      </c>
      <c r="D98" s="120" t="s">
        <v>9</v>
      </c>
      <c r="E98" s="10">
        <v>20532000</v>
      </c>
      <c r="F98" s="10">
        <f>F99</f>
        <v>38472000</v>
      </c>
      <c r="G98" s="10">
        <f t="shared" si="14"/>
        <v>17940000</v>
      </c>
      <c r="H98" s="209">
        <f t="shared" si="15"/>
        <v>87.375803623611915</v>
      </c>
      <c r="I98" s="14"/>
      <c r="J98" s="35"/>
      <c r="K98" s="36"/>
      <c r="L98" s="36"/>
      <c r="M98" s="37"/>
      <c r="N98" s="36"/>
      <c r="O98" s="36"/>
      <c r="P98" s="37"/>
      <c r="Q98" s="120"/>
      <c r="R98" s="120"/>
      <c r="S98" s="120"/>
      <c r="T98" s="120"/>
      <c r="U98" s="15">
        <f>U99</f>
        <v>38472000</v>
      </c>
      <c r="V98" s="496"/>
    </row>
    <row r="99" spans="2:22" s="497" customFormat="1" ht="24.95" customHeight="1">
      <c r="B99" s="98"/>
      <c r="C99" s="120"/>
      <c r="D99" s="120" t="s">
        <v>408</v>
      </c>
      <c r="E99" s="10">
        <v>20532000</v>
      </c>
      <c r="F99" s="10">
        <f>U99</f>
        <v>38472000</v>
      </c>
      <c r="G99" s="10">
        <f t="shared" si="14"/>
        <v>17940000</v>
      </c>
      <c r="H99" s="209">
        <f t="shared" si="15"/>
        <v>87.375803623611915</v>
      </c>
      <c r="I99" s="509" t="s">
        <v>408</v>
      </c>
      <c r="J99" s="35"/>
      <c r="K99" s="36"/>
      <c r="L99" s="36"/>
      <c r="M99" s="37"/>
      <c r="N99" s="36"/>
      <c r="O99" s="36"/>
      <c r="P99" s="37"/>
      <c r="Q99" s="120"/>
      <c r="R99" s="120"/>
      <c r="S99" s="120"/>
      <c r="T99" s="120"/>
      <c r="U99" s="15">
        <f>SUM(U100:U102)</f>
        <v>38472000</v>
      </c>
      <c r="V99" s="496"/>
    </row>
    <row r="100" spans="2:22" s="497" customFormat="1" ht="24.95" customHeight="1">
      <c r="B100" s="98"/>
      <c r="C100" s="94"/>
      <c r="D100" s="280"/>
      <c r="E100" s="10"/>
      <c r="F100" s="10"/>
      <c r="G100" s="10"/>
      <c r="H100" s="209"/>
      <c r="I100" s="509" t="s">
        <v>467</v>
      </c>
      <c r="J100" s="35">
        <v>1200000</v>
      </c>
      <c r="K100" s="36" t="s">
        <v>16</v>
      </c>
      <c r="L100" s="36" t="s">
        <v>17</v>
      </c>
      <c r="M100" s="37">
        <v>4</v>
      </c>
      <c r="N100" s="36" t="s">
        <v>20</v>
      </c>
      <c r="O100" s="36"/>
      <c r="P100" s="37"/>
      <c r="Q100" s="120"/>
      <c r="R100" s="120"/>
      <c r="S100" s="120"/>
      <c r="T100" s="120"/>
      <c r="U100" s="15">
        <f>J100*M100</f>
        <v>4800000</v>
      </c>
      <c r="V100" s="496"/>
    </row>
    <row r="101" spans="2:22" s="497" customFormat="1" ht="24.95" customHeight="1">
      <c r="B101" s="98"/>
      <c r="C101" s="94"/>
      <c r="D101" s="280"/>
      <c r="E101" s="10"/>
      <c r="F101" s="10"/>
      <c r="G101" s="10"/>
      <c r="H101" s="209"/>
      <c r="I101" s="509" t="s">
        <v>468</v>
      </c>
      <c r="J101" s="35">
        <v>918000</v>
      </c>
      <c r="K101" s="36" t="s">
        <v>16</v>
      </c>
      <c r="L101" s="36" t="s">
        <v>17</v>
      </c>
      <c r="M101" s="37">
        <v>4</v>
      </c>
      <c r="N101" s="36" t="s">
        <v>20</v>
      </c>
      <c r="O101" s="36"/>
      <c r="P101" s="37"/>
      <c r="Q101" s="120"/>
      <c r="R101" s="120"/>
      <c r="S101" s="120"/>
      <c r="T101" s="120"/>
      <c r="U101" s="15">
        <f>J101*M101</f>
        <v>3672000</v>
      </c>
      <c r="V101" s="496"/>
    </row>
    <row r="102" spans="2:22" s="497" customFormat="1" ht="24.95" customHeight="1">
      <c r="B102" s="98"/>
      <c r="C102" s="94"/>
      <c r="D102" s="280"/>
      <c r="E102" s="10"/>
      <c r="F102" s="10"/>
      <c r="G102" s="10"/>
      <c r="H102" s="209"/>
      <c r="I102" s="509" t="s">
        <v>469</v>
      </c>
      <c r="J102" s="35">
        <v>30000000</v>
      </c>
      <c r="K102" s="36" t="s">
        <v>16</v>
      </c>
      <c r="L102" s="36" t="s">
        <v>17</v>
      </c>
      <c r="M102" s="37">
        <v>1</v>
      </c>
      <c r="N102" s="36" t="s">
        <v>20</v>
      </c>
      <c r="O102" s="36" t="s">
        <v>1</v>
      </c>
      <c r="P102" s="37"/>
      <c r="Q102" s="120"/>
      <c r="R102" s="120"/>
      <c r="S102" s="120"/>
      <c r="T102" s="120"/>
      <c r="U102" s="15">
        <f>J102*M102</f>
        <v>30000000</v>
      </c>
      <c r="V102" s="496"/>
    </row>
    <row r="103" spans="2:22" ht="24.95" customHeight="1">
      <c r="B103" s="98" t="s">
        <v>470</v>
      </c>
      <c r="C103" s="398" t="s">
        <v>10</v>
      </c>
      <c r="D103" s="358"/>
      <c r="E103" s="10">
        <v>22377160</v>
      </c>
      <c r="F103" s="10">
        <f>U103</f>
        <v>0</v>
      </c>
      <c r="G103" s="10">
        <f t="shared" si="14"/>
        <v>-22377160</v>
      </c>
      <c r="H103" s="209">
        <f t="shared" ref="H103:H117" si="16">F103/E103*100-100</f>
        <v>-100</v>
      </c>
      <c r="I103" s="14"/>
      <c r="J103" s="35"/>
      <c r="K103" s="36"/>
      <c r="L103" s="36"/>
      <c r="M103" s="37"/>
      <c r="N103" s="36"/>
      <c r="O103" s="36"/>
      <c r="P103" s="37"/>
      <c r="Q103" s="120"/>
      <c r="R103" s="120"/>
      <c r="S103" s="120"/>
      <c r="T103" s="120"/>
      <c r="U103" s="15"/>
    </row>
    <row r="104" spans="2:22" ht="24.95" customHeight="1">
      <c r="B104" s="98"/>
      <c r="C104" s="120" t="s">
        <v>470</v>
      </c>
      <c r="D104" s="120" t="s">
        <v>9</v>
      </c>
      <c r="E104" s="10">
        <v>22377160</v>
      </c>
      <c r="F104" s="10">
        <f>F105</f>
        <v>0</v>
      </c>
      <c r="G104" s="10">
        <f t="shared" si="14"/>
        <v>-22377160</v>
      </c>
      <c r="H104" s="209">
        <f t="shared" si="16"/>
        <v>-100</v>
      </c>
      <c r="I104" s="14"/>
      <c r="J104" s="35"/>
      <c r="K104" s="36"/>
      <c r="L104" s="36"/>
      <c r="M104" s="37"/>
      <c r="N104" s="36"/>
      <c r="O104" s="36"/>
      <c r="P104" s="37"/>
      <c r="Q104" s="120"/>
      <c r="R104" s="120"/>
      <c r="S104" s="120"/>
      <c r="T104" s="120"/>
      <c r="U104" s="15"/>
    </row>
    <row r="105" spans="2:22" ht="24.95" customHeight="1">
      <c r="B105" s="98"/>
      <c r="C105" s="120"/>
      <c r="D105" s="120" t="s">
        <v>470</v>
      </c>
      <c r="E105" s="10">
        <v>22377160</v>
      </c>
      <c r="F105" s="10">
        <f>U105</f>
        <v>0</v>
      </c>
      <c r="G105" s="10">
        <f t="shared" si="14"/>
        <v>-22377160</v>
      </c>
      <c r="H105" s="209">
        <f t="shared" si="16"/>
        <v>-100</v>
      </c>
      <c r="I105" s="509"/>
      <c r="J105" s="35"/>
      <c r="K105" s="36"/>
      <c r="L105" s="36"/>
      <c r="M105" s="37"/>
      <c r="N105" s="36"/>
      <c r="O105" s="36"/>
      <c r="P105" s="37"/>
      <c r="Q105" s="120"/>
      <c r="R105" s="120"/>
      <c r="S105" s="120"/>
      <c r="T105" s="120"/>
      <c r="U105" s="15"/>
    </row>
    <row r="106" spans="2:22" s="497" customFormat="1" ht="24.95" customHeight="1">
      <c r="B106" s="98" t="s">
        <v>90</v>
      </c>
      <c r="C106" s="398" t="s">
        <v>10</v>
      </c>
      <c r="D106" s="358"/>
      <c r="E106" s="10">
        <v>300000</v>
      </c>
      <c r="F106" s="10">
        <f>SUM(F107)</f>
        <v>300000</v>
      </c>
      <c r="G106" s="10">
        <f t="shared" si="14"/>
        <v>0</v>
      </c>
      <c r="H106" s="209">
        <f t="shared" si="16"/>
        <v>0</v>
      </c>
      <c r="I106" s="14"/>
      <c r="J106" s="35"/>
      <c r="K106" s="36"/>
      <c r="L106" s="36"/>
      <c r="M106" s="37"/>
      <c r="N106" s="36"/>
      <c r="O106" s="36"/>
      <c r="P106" s="37"/>
      <c r="Q106" s="120"/>
      <c r="R106" s="120"/>
      <c r="S106" s="120"/>
      <c r="T106" s="120"/>
      <c r="U106" s="15">
        <f>U107</f>
        <v>300000</v>
      </c>
      <c r="V106" s="496"/>
    </row>
    <row r="107" spans="2:22" s="497" customFormat="1" ht="24.95" customHeight="1">
      <c r="B107" s="98"/>
      <c r="C107" s="120" t="s">
        <v>90</v>
      </c>
      <c r="D107" s="120" t="s">
        <v>9</v>
      </c>
      <c r="E107" s="10">
        <v>300000</v>
      </c>
      <c r="F107" s="10">
        <f>F108</f>
        <v>300000</v>
      </c>
      <c r="G107" s="10">
        <f t="shared" si="14"/>
        <v>0</v>
      </c>
      <c r="H107" s="209">
        <f t="shared" si="16"/>
        <v>0</v>
      </c>
      <c r="I107" s="14"/>
      <c r="J107" s="35"/>
      <c r="K107" s="36"/>
      <c r="L107" s="36"/>
      <c r="M107" s="37"/>
      <c r="N107" s="36"/>
      <c r="O107" s="36"/>
      <c r="P107" s="37"/>
      <c r="Q107" s="120"/>
      <c r="R107" s="120"/>
      <c r="S107" s="120"/>
      <c r="T107" s="120"/>
      <c r="U107" s="15">
        <f>SUM(U108)</f>
        <v>300000</v>
      </c>
      <c r="V107" s="496"/>
    </row>
    <row r="108" spans="2:22" s="497" customFormat="1" ht="24.95" customHeight="1">
      <c r="B108" s="98"/>
      <c r="C108" s="228"/>
      <c r="D108" s="120" t="s">
        <v>90</v>
      </c>
      <c r="E108" s="212">
        <v>300000</v>
      </c>
      <c r="F108" s="212">
        <f>U108</f>
        <v>300000</v>
      </c>
      <c r="G108" s="10">
        <f t="shared" si="14"/>
        <v>0</v>
      </c>
      <c r="H108" s="209">
        <f t="shared" si="16"/>
        <v>0</v>
      </c>
      <c r="I108" s="14" t="s">
        <v>90</v>
      </c>
      <c r="J108" s="35">
        <v>300000</v>
      </c>
      <c r="K108" s="36" t="s">
        <v>16</v>
      </c>
      <c r="L108" s="36" t="s">
        <v>17</v>
      </c>
      <c r="M108" s="37">
        <v>1</v>
      </c>
      <c r="N108" s="36" t="s">
        <v>20</v>
      </c>
      <c r="O108" s="36" t="s">
        <v>1</v>
      </c>
      <c r="P108" s="37" t="s">
        <v>1</v>
      </c>
      <c r="Q108" s="120" t="s">
        <v>1</v>
      </c>
      <c r="R108" s="120"/>
      <c r="S108" s="120"/>
      <c r="T108" s="120"/>
      <c r="U108" s="15">
        <f>J108*M108</f>
        <v>300000</v>
      </c>
      <c r="V108" s="496"/>
    </row>
    <row r="109" spans="2:22" s="497" customFormat="1" ht="24.95" customHeight="1">
      <c r="B109" s="98" t="s">
        <v>91</v>
      </c>
      <c r="C109" s="398" t="s">
        <v>10</v>
      </c>
      <c r="D109" s="358"/>
      <c r="E109" s="10">
        <v>200770</v>
      </c>
      <c r="F109" s="10">
        <f>F110</f>
        <v>206260</v>
      </c>
      <c r="G109" s="10">
        <f t="shared" si="14"/>
        <v>5490</v>
      </c>
      <c r="H109" s="209">
        <f t="shared" si="16"/>
        <v>2.7344722817153979</v>
      </c>
      <c r="I109" s="14"/>
      <c r="J109" s="35"/>
      <c r="K109" s="36"/>
      <c r="L109" s="36"/>
      <c r="M109" s="37"/>
      <c r="N109" s="36"/>
      <c r="O109" s="36"/>
      <c r="P109" s="37"/>
      <c r="Q109" s="120"/>
      <c r="R109" s="120"/>
      <c r="S109" s="120"/>
      <c r="T109" s="120"/>
      <c r="U109" s="15">
        <f>U110</f>
        <v>206260</v>
      </c>
      <c r="V109" s="496"/>
    </row>
    <row r="110" spans="2:22" s="497" customFormat="1" ht="24.95" customHeight="1">
      <c r="B110" s="98"/>
      <c r="C110" s="120" t="s">
        <v>91</v>
      </c>
      <c r="D110" s="120" t="s">
        <v>9</v>
      </c>
      <c r="E110" s="10">
        <v>200770</v>
      </c>
      <c r="F110" s="10">
        <f>SUM(F111,F119,F120)</f>
        <v>206260</v>
      </c>
      <c r="G110" s="10">
        <f t="shared" si="14"/>
        <v>5490</v>
      </c>
      <c r="H110" s="209">
        <f t="shared" si="16"/>
        <v>2.7344722817153979</v>
      </c>
      <c r="I110" s="14"/>
      <c r="J110" s="35"/>
      <c r="K110" s="36"/>
      <c r="L110" s="36"/>
      <c r="M110" s="37"/>
      <c r="N110" s="36"/>
      <c r="O110" s="36"/>
      <c r="P110" s="37"/>
      <c r="Q110" s="120"/>
      <c r="R110" s="120"/>
      <c r="S110" s="120"/>
      <c r="T110" s="120"/>
      <c r="U110" s="15">
        <f>SUM(U111,U119,U120)</f>
        <v>206260</v>
      </c>
      <c r="V110" s="496"/>
    </row>
    <row r="111" spans="2:22" s="497" customFormat="1" ht="24.95" customHeight="1">
      <c r="B111" s="98"/>
      <c r="C111" s="228"/>
      <c r="D111" s="120" t="s">
        <v>91</v>
      </c>
      <c r="E111" s="212">
        <v>200770</v>
      </c>
      <c r="F111" s="212">
        <f>U111</f>
        <v>206260</v>
      </c>
      <c r="G111" s="10">
        <f t="shared" si="14"/>
        <v>5490</v>
      </c>
      <c r="H111" s="209">
        <f t="shared" si="16"/>
        <v>2.7344722817153979</v>
      </c>
      <c r="I111" s="14" t="s">
        <v>91</v>
      </c>
      <c r="J111" s="35">
        <v>206260</v>
      </c>
      <c r="K111" s="36" t="s">
        <v>16</v>
      </c>
      <c r="L111" s="36" t="s">
        <v>17</v>
      </c>
      <c r="M111" s="37">
        <v>1</v>
      </c>
      <c r="N111" s="36" t="s">
        <v>20</v>
      </c>
      <c r="O111" s="36" t="s">
        <v>1</v>
      </c>
      <c r="P111" s="37" t="s">
        <v>1</v>
      </c>
      <c r="Q111" s="120" t="s">
        <v>1</v>
      </c>
      <c r="R111" s="120"/>
      <c r="S111" s="120"/>
      <c r="T111" s="120"/>
      <c r="U111" s="15">
        <f>J111*M111</f>
        <v>206260</v>
      </c>
      <c r="V111" s="496"/>
    </row>
    <row r="112" spans="2:22" s="497" customFormat="1" ht="24.95" customHeight="1">
      <c r="B112" s="98" t="s">
        <v>471</v>
      </c>
      <c r="C112" s="398" t="s">
        <v>10</v>
      </c>
      <c r="D112" s="358"/>
      <c r="E112" s="10">
        <v>5000000</v>
      </c>
      <c r="F112" s="10">
        <f>F113</f>
        <v>1000000</v>
      </c>
      <c r="G112" s="10">
        <f t="shared" si="14"/>
        <v>-4000000</v>
      </c>
      <c r="H112" s="209">
        <f t="shared" si="16"/>
        <v>-80</v>
      </c>
      <c r="I112" s="14"/>
      <c r="J112" s="35"/>
      <c r="K112" s="36"/>
      <c r="L112" s="36"/>
      <c r="M112" s="37"/>
      <c r="N112" s="36"/>
      <c r="O112" s="36"/>
      <c r="P112" s="37"/>
      <c r="Q112" s="120"/>
      <c r="R112" s="120"/>
      <c r="S112" s="120"/>
      <c r="T112" s="120"/>
      <c r="U112" s="15">
        <f>U113</f>
        <v>1000000</v>
      </c>
      <c r="V112" s="496"/>
    </row>
    <row r="113" spans="2:22" s="497" customFormat="1" ht="24.95" customHeight="1">
      <c r="B113" s="98"/>
      <c r="C113" s="120" t="s">
        <v>472</v>
      </c>
      <c r="D113" s="120" t="s">
        <v>9</v>
      </c>
      <c r="E113" s="10">
        <v>5000000</v>
      </c>
      <c r="F113" s="10">
        <f>F114</f>
        <v>1000000</v>
      </c>
      <c r="G113" s="10">
        <f t="shared" si="14"/>
        <v>-4000000</v>
      </c>
      <c r="H113" s="209">
        <f t="shared" si="16"/>
        <v>-80</v>
      </c>
      <c r="I113" s="14"/>
      <c r="J113" s="35"/>
      <c r="K113" s="36"/>
      <c r="L113" s="36"/>
      <c r="M113" s="37"/>
      <c r="N113" s="36"/>
      <c r="O113" s="36"/>
      <c r="P113" s="37"/>
      <c r="Q113" s="120"/>
      <c r="R113" s="120"/>
      <c r="S113" s="120"/>
      <c r="T113" s="120"/>
      <c r="U113" s="15">
        <f>SUM(U114,U122,U123)</f>
        <v>1000000</v>
      </c>
      <c r="V113" s="496"/>
    </row>
    <row r="114" spans="2:22" s="497" customFormat="1" ht="24.95" customHeight="1">
      <c r="B114" s="98"/>
      <c r="C114" s="228"/>
      <c r="D114" s="120" t="s">
        <v>472</v>
      </c>
      <c r="E114" s="212">
        <v>5000000</v>
      </c>
      <c r="F114" s="212">
        <f>U114</f>
        <v>1000000</v>
      </c>
      <c r="G114" s="10">
        <f t="shared" si="14"/>
        <v>-4000000</v>
      </c>
      <c r="H114" s="209">
        <f t="shared" si="16"/>
        <v>-80</v>
      </c>
      <c r="I114" s="14" t="s">
        <v>472</v>
      </c>
      <c r="J114" s="35">
        <v>1000000</v>
      </c>
      <c r="K114" s="36" t="s">
        <v>16</v>
      </c>
      <c r="L114" s="36" t="s">
        <v>17</v>
      </c>
      <c r="M114" s="37">
        <v>1</v>
      </c>
      <c r="N114" s="36" t="s">
        <v>20</v>
      </c>
      <c r="O114" s="36" t="s">
        <v>1</v>
      </c>
      <c r="P114" s="37" t="s">
        <v>1</v>
      </c>
      <c r="Q114" s="120" t="s">
        <v>1</v>
      </c>
      <c r="R114" s="120"/>
      <c r="S114" s="120"/>
      <c r="T114" s="120"/>
      <c r="U114" s="15">
        <f>J114*M114</f>
        <v>1000000</v>
      </c>
      <c r="V114" s="496"/>
    </row>
    <row r="115" spans="2:22" ht="24.95" customHeight="1">
      <c r="B115" s="98" t="s">
        <v>473</v>
      </c>
      <c r="C115" s="398" t="s">
        <v>10</v>
      </c>
      <c r="D115" s="358"/>
      <c r="E115" s="10">
        <v>5000000</v>
      </c>
      <c r="F115" s="10">
        <f>F116</f>
        <v>1000000</v>
      </c>
      <c r="G115" s="10">
        <f t="shared" si="14"/>
        <v>-4000000</v>
      </c>
      <c r="H115" s="209">
        <f t="shared" si="16"/>
        <v>-80</v>
      </c>
      <c r="I115" s="14"/>
      <c r="J115" s="35"/>
      <c r="K115" s="36"/>
      <c r="L115" s="36"/>
      <c r="M115" s="37"/>
      <c r="N115" s="36"/>
      <c r="O115" s="36"/>
      <c r="P115" s="37"/>
      <c r="Q115" s="120"/>
      <c r="R115" s="120"/>
      <c r="S115" s="120"/>
      <c r="T115" s="120"/>
      <c r="U115" s="15">
        <f>U116</f>
        <v>1000000</v>
      </c>
    </row>
    <row r="116" spans="2:22" ht="24.95" customHeight="1">
      <c r="B116" s="98"/>
      <c r="C116" s="120" t="s">
        <v>474</v>
      </c>
      <c r="D116" s="120" t="s">
        <v>9</v>
      </c>
      <c r="E116" s="10">
        <v>5000000</v>
      </c>
      <c r="F116" s="10">
        <f>F117</f>
        <v>1000000</v>
      </c>
      <c r="G116" s="10">
        <f t="shared" si="14"/>
        <v>-4000000</v>
      </c>
      <c r="H116" s="209">
        <f t="shared" si="16"/>
        <v>-80</v>
      </c>
      <c r="I116" s="14"/>
      <c r="J116" s="35"/>
      <c r="K116" s="36"/>
      <c r="L116" s="36"/>
      <c r="M116" s="37"/>
      <c r="N116" s="36"/>
      <c r="O116" s="36"/>
      <c r="P116" s="37"/>
      <c r="Q116" s="120"/>
      <c r="R116" s="120"/>
      <c r="S116" s="120"/>
      <c r="T116" s="120"/>
      <c r="U116" s="15">
        <f>SUM(U117,U125,U126)</f>
        <v>1000000</v>
      </c>
    </row>
    <row r="117" spans="2:22" ht="24.95" customHeight="1" thickBot="1">
      <c r="B117" s="43"/>
      <c r="C117" s="512"/>
      <c r="D117" s="41" t="s">
        <v>475</v>
      </c>
      <c r="E117" s="513">
        <v>5000000</v>
      </c>
      <c r="F117" s="513">
        <f>U117</f>
        <v>1000000</v>
      </c>
      <c r="G117" s="44">
        <f t="shared" si="14"/>
        <v>-4000000</v>
      </c>
      <c r="H117" s="210">
        <f t="shared" si="16"/>
        <v>-80</v>
      </c>
      <c r="I117" s="514" t="s">
        <v>475</v>
      </c>
      <c r="J117" s="45">
        <v>1000000</v>
      </c>
      <c r="K117" s="46" t="s">
        <v>16</v>
      </c>
      <c r="L117" s="46" t="s">
        <v>17</v>
      </c>
      <c r="M117" s="47">
        <v>1</v>
      </c>
      <c r="N117" s="46" t="s">
        <v>20</v>
      </c>
      <c r="O117" s="46" t="s">
        <v>1</v>
      </c>
      <c r="P117" s="47" t="s">
        <v>1</v>
      </c>
      <c r="Q117" s="41" t="s">
        <v>1</v>
      </c>
      <c r="R117" s="41"/>
      <c r="S117" s="41"/>
      <c r="T117" s="41"/>
      <c r="U117" s="48">
        <f>J117*M117</f>
        <v>1000000</v>
      </c>
    </row>
    <row r="118" spans="2:22" s="515" customFormat="1" ht="18" customHeight="1">
      <c r="D118" s="516"/>
      <c r="E118" s="517"/>
      <c r="F118" s="517"/>
      <c r="G118" s="517"/>
      <c r="H118" s="518"/>
      <c r="J118" s="516"/>
      <c r="K118" s="516"/>
      <c r="L118" s="516"/>
      <c r="M118" s="516"/>
      <c r="N118" s="516"/>
      <c r="O118" s="516"/>
      <c r="P118" s="516"/>
      <c r="Q118" s="516"/>
      <c r="R118" s="516"/>
      <c r="S118" s="516"/>
      <c r="T118" s="516"/>
      <c r="V118" s="519"/>
    </row>
    <row r="119" spans="2:22" s="515" customFormat="1" ht="18" customHeight="1">
      <c r="D119" s="516"/>
      <c r="E119" s="517"/>
      <c r="F119" s="517"/>
      <c r="G119" s="517"/>
      <c r="H119" s="518"/>
      <c r="I119" s="516" t="s">
        <v>41</v>
      </c>
      <c r="J119" s="516" t="s">
        <v>1</v>
      </c>
      <c r="K119" s="516"/>
      <c r="L119" s="516"/>
      <c r="M119" s="516"/>
      <c r="N119" s="516"/>
      <c r="O119" s="516"/>
      <c r="P119" s="516"/>
      <c r="Q119" s="516"/>
      <c r="R119" s="516"/>
      <c r="S119" s="516"/>
      <c r="T119" s="516"/>
      <c r="V119" s="519"/>
    </row>
    <row r="120" spans="2:22" s="515" customFormat="1" ht="18" customHeight="1">
      <c r="H120" s="520"/>
      <c r="J120" s="521"/>
      <c r="K120" s="516"/>
      <c r="L120" s="516"/>
      <c r="M120" s="516"/>
      <c r="N120" s="516"/>
      <c r="O120" s="516"/>
      <c r="P120" s="516"/>
      <c r="Q120" s="516"/>
      <c r="R120" s="516"/>
      <c r="S120" s="516"/>
      <c r="T120" s="516"/>
      <c r="V120" s="519"/>
    </row>
    <row r="121" spans="2:22" s="515" customFormat="1" ht="18" customHeight="1">
      <c r="F121" s="522"/>
      <c r="H121" s="520"/>
      <c r="J121" s="516"/>
      <c r="K121" s="516"/>
      <c r="L121" s="516"/>
      <c r="M121" s="516"/>
      <c r="N121" s="516"/>
      <c r="O121" s="516"/>
      <c r="P121" s="516"/>
      <c r="Q121" s="516"/>
      <c r="R121" s="516"/>
      <c r="S121" s="516"/>
      <c r="T121" s="516"/>
      <c r="V121" s="519"/>
    </row>
    <row r="122" spans="2:22" s="515" customFormat="1" ht="18" customHeight="1">
      <c r="H122" s="520"/>
      <c r="J122" s="516"/>
      <c r="K122" s="516"/>
      <c r="L122" s="516"/>
      <c r="M122" s="516"/>
      <c r="N122" s="516"/>
      <c r="O122" s="516"/>
      <c r="P122" s="516"/>
      <c r="Q122" s="516"/>
      <c r="R122" s="516"/>
      <c r="S122" s="516"/>
      <c r="T122" s="516"/>
      <c r="V122" s="519"/>
    </row>
  </sheetData>
  <mergeCells count="17">
    <mergeCell ref="C103:D103"/>
    <mergeCell ref="C106:D106"/>
    <mergeCell ref="C109:D109"/>
    <mergeCell ref="C112:D112"/>
    <mergeCell ref="C115:D115"/>
    <mergeCell ref="I3:U4"/>
    <mergeCell ref="B5:D5"/>
    <mergeCell ref="C6:D6"/>
    <mergeCell ref="C62:D62"/>
    <mergeCell ref="C68:D68"/>
    <mergeCell ref="C97:D97"/>
    <mergeCell ref="B3:B4"/>
    <mergeCell ref="C3:C4"/>
    <mergeCell ref="D3:D4"/>
    <mergeCell ref="E3:E4"/>
    <mergeCell ref="F3:F4"/>
    <mergeCell ref="G3:H3"/>
  </mergeCells>
  <phoneticPr fontId="2" type="noConversion"/>
  <printOptions horizontalCentered="1"/>
  <pageMargins left="0.15748031496062992" right="0.15748031496062992" top="0.19685039370078741" bottom="0.39370078740157483" header="0.19685039370078741" footer="0"/>
  <pageSetup paperSize="9" scale="67" fitToHeight="0" orientation="landscape" horizontalDpi="300" verticalDpi="300" r:id="rId1"/>
  <headerFooter alignWithMargins="0"/>
  <rowBreaks count="2" manualBreakCount="2">
    <brk id="33" min="1" max="20" man="1"/>
    <brk id="64" min="1" max="2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AA24"/>
  <sheetViews>
    <sheetView view="pageBreakPreview" zoomScale="75" zoomScaleNormal="85" zoomScaleSheetLayoutView="75" workbookViewId="0">
      <selection activeCell="U16" sqref="U16"/>
    </sheetView>
  </sheetViews>
  <sheetFormatPr defaultRowHeight="13.5"/>
  <cols>
    <col min="1" max="1" width="2.6640625" style="4" customWidth="1"/>
    <col min="2" max="2" width="10.5546875" style="4" customWidth="1"/>
    <col min="3" max="3" width="9.77734375" style="4" customWidth="1"/>
    <col min="4" max="4" width="16.77734375" style="4" customWidth="1"/>
    <col min="5" max="5" width="12.5546875" style="17" customWidth="1"/>
    <col min="6" max="6" width="12.5546875" style="4" customWidth="1"/>
    <col min="7" max="7" width="11.6640625" style="4" customWidth="1"/>
    <col min="8" max="8" width="8.33203125" style="4" bestFit="1" customWidth="1"/>
    <col min="9" max="9" width="19.77734375" style="4" customWidth="1"/>
    <col min="10" max="10" width="8.109375" style="4" customWidth="1"/>
    <col min="11" max="12" width="3.77734375" style="4" customWidth="1"/>
    <col min="13" max="13" width="6.77734375" style="4" customWidth="1"/>
    <col min="14" max="15" width="3.77734375" style="4" customWidth="1"/>
    <col min="16" max="16" width="6.77734375" style="4" customWidth="1"/>
    <col min="17" max="18" width="3.77734375" style="4" customWidth="1"/>
    <col min="19" max="19" width="5.77734375" style="4" customWidth="1"/>
    <col min="20" max="20" width="3.77734375" style="4" customWidth="1"/>
    <col min="21" max="21" width="13.77734375" style="4" customWidth="1"/>
    <col min="22" max="23" width="8.88671875" style="4"/>
    <col min="24" max="24" width="11.5546875" style="4" bestFit="1" customWidth="1"/>
    <col min="25" max="26" width="8.88671875" style="4"/>
    <col min="27" max="27" width="11.5546875" style="4" bestFit="1" customWidth="1"/>
    <col min="28" max="16384" width="8.88671875" style="4"/>
  </cols>
  <sheetData>
    <row r="3" spans="2:27" s="56" customFormat="1" ht="32.1" customHeight="1" thickBot="1">
      <c r="B3" s="353" t="s">
        <v>137</v>
      </c>
      <c r="C3" s="353"/>
      <c r="D3" s="54"/>
      <c r="E3" s="55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5" t="s">
        <v>44</v>
      </c>
    </row>
    <row r="4" spans="2:27" ht="24.95" customHeight="1">
      <c r="B4" s="321" t="s">
        <v>2</v>
      </c>
      <c r="C4" s="322" t="s">
        <v>3</v>
      </c>
      <c r="D4" s="322" t="s">
        <v>4</v>
      </c>
      <c r="E4" s="354" t="s">
        <v>202</v>
      </c>
      <c r="F4" s="354" t="s">
        <v>231</v>
      </c>
      <c r="G4" s="322" t="s">
        <v>5</v>
      </c>
      <c r="H4" s="322"/>
      <c r="I4" s="347" t="s">
        <v>139</v>
      </c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9"/>
    </row>
    <row r="5" spans="2:27" ht="24.95" customHeight="1" thickBot="1">
      <c r="B5" s="327"/>
      <c r="C5" s="328"/>
      <c r="D5" s="328"/>
      <c r="E5" s="355"/>
      <c r="F5" s="355"/>
      <c r="G5" s="268" t="s">
        <v>6</v>
      </c>
      <c r="H5" s="268" t="s">
        <v>7</v>
      </c>
      <c r="I5" s="350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2"/>
    </row>
    <row r="6" spans="2:27" ht="24.95" customHeight="1" thickBot="1">
      <c r="B6" s="337" t="s">
        <v>8</v>
      </c>
      <c r="C6" s="338"/>
      <c r="D6" s="338"/>
      <c r="E6" s="204">
        <v>23812000</v>
      </c>
      <c r="F6" s="204">
        <f>F7+F10+F15+F18+F13</f>
        <v>25503000</v>
      </c>
      <c r="G6" s="204">
        <f>F6-E6</f>
        <v>1691000</v>
      </c>
      <c r="H6" s="207">
        <f>F6/E6*100-100</f>
        <v>7.1014614480094025</v>
      </c>
      <c r="I6" s="19"/>
      <c r="J6" s="20"/>
      <c r="K6" s="21"/>
      <c r="L6" s="21"/>
      <c r="M6" s="21"/>
      <c r="N6" s="21"/>
      <c r="O6" s="21"/>
      <c r="P6" s="21"/>
      <c r="Q6" s="21"/>
      <c r="R6" s="21"/>
      <c r="S6" s="21"/>
      <c r="T6" s="21"/>
      <c r="U6" s="22">
        <f>SUM(U7+U10+U13+U15+U18)</f>
        <v>25503000</v>
      </c>
      <c r="V6" s="416"/>
    </row>
    <row r="7" spans="2:27" ht="24.95" customHeight="1">
      <c r="B7" s="105" t="s">
        <v>262</v>
      </c>
      <c r="C7" s="281" t="s">
        <v>262</v>
      </c>
      <c r="D7" s="282" t="s">
        <v>10</v>
      </c>
      <c r="E7" s="205">
        <v>21444000</v>
      </c>
      <c r="F7" s="10">
        <f>SUM(F8:F9)</f>
        <v>21444000</v>
      </c>
      <c r="G7" s="206">
        <f>F7-E7</f>
        <v>0</v>
      </c>
      <c r="H7" s="208">
        <f>F7/E7*100-100</f>
        <v>0</v>
      </c>
      <c r="I7" s="66" t="s">
        <v>262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09">
        <f>SUM(U8,U9)</f>
        <v>21444000</v>
      </c>
    </row>
    <row r="8" spans="2:27" ht="24.95" customHeight="1">
      <c r="B8" s="98"/>
      <c r="C8" s="120"/>
      <c r="D8" s="107" t="s">
        <v>350</v>
      </c>
      <c r="E8" s="10">
        <v>10500000</v>
      </c>
      <c r="F8" s="10">
        <f>U8</f>
        <v>10500000</v>
      </c>
      <c r="G8" s="10">
        <f>F8-E8</f>
        <v>0</v>
      </c>
      <c r="H8" s="209">
        <f t="shared" ref="H8:H19" si="0">F8/E8*100-100</f>
        <v>0</v>
      </c>
      <c r="I8" s="1" t="s">
        <v>351</v>
      </c>
      <c r="J8" s="417">
        <v>2500</v>
      </c>
      <c r="K8" s="1" t="s">
        <v>16</v>
      </c>
      <c r="L8" s="36" t="s">
        <v>17</v>
      </c>
      <c r="M8" s="37">
        <v>14</v>
      </c>
      <c r="N8" s="36" t="s">
        <v>19</v>
      </c>
      <c r="O8" s="36" t="s">
        <v>17</v>
      </c>
      <c r="P8" s="37">
        <v>25</v>
      </c>
      <c r="Q8" s="49" t="s">
        <v>352</v>
      </c>
      <c r="R8" s="36" t="s">
        <v>17</v>
      </c>
      <c r="S8" s="37">
        <v>12</v>
      </c>
      <c r="T8" s="49" t="s">
        <v>18</v>
      </c>
      <c r="U8" s="108">
        <f>S8*P8*J8*M8</f>
        <v>10500000</v>
      </c>
      <c r="V8" s="4">
        <f>U8/4</f>
        <v>2625000</v>
      </c>
    </row>
    <row r="9" spans="2:27" ht="24.95" customHeight="1">
      <c r="B9" s="98"/>
      <c r="C9" s="120"/>
      <c r="D9" s="107" t="s">
        <v>353</v>
      </c>
      <c r="E9" s="10">
        <v>10944000</v>
      </c>
      <c r="F9" s="10">
        <f>U9</f>
        <v>10944000</v>
      </c>
      <c r="G9" s="10"/>
      <c r="H9" s="209"/>
      <c r="I9" s="1" t="s">
        <v>354</v>
      </c>
      <c r="J9" s="417">
        <v>6000</v>
      </c>
      <c r="K9" s="49" t="s">
        <v>16</v>
      </c>
      <c r="L9" s="36" t="s">
        <v>17</v>
      </c>
      <c r="M9" s="37">
        <v>38</v>
      </c>
      <c r="N9" s="36" t="s">
        <v>19</v>
      </c>
      <c r="O9" s="36" t="s">
        <v>17</v>
      </c>
      <c r="P9" s="37">
        <v>4</v>
      </c>
      <c r="Q9" s="49" t="s">
        <v>355</v>
      </c>
      <c r="R9" s="36" t="s">
        <v>17</v>
      </c>
      <c r="S9" s="37">
        <v>12</v>
      </c>
      <c r="T9" s="49" t="s">
        <v>18</v>
      </c>
      <c r="U9" s="108">
        <f>S9*P9*J9*M9</f>
        <v>10944000</v>
      </c>
      <c r="V9" s="4">
        <f>U9/4</f>
        <v>2736000</v>
      </c>
      <c r="W9" s="4">
        <f>V9+V8</f>
        <v>5361000</v>
      </c>
    </row>
    <row r="10" spans="2:27" ht="24.95" customHeight="1">
      <c r="B10" s="65" t="s">
        <v>11</v>
      </c>
      <c r="C10" s="120" t="s">
        <v>11</v>
      </c>
      <c r="D10" s="120" t="s">
        <v>10</v>
      </c>
      <c r="E10" s="8">
        <v>300000</v>
      </c>
      <c r="F10" s="10">
        <f>U10</f>
        <v>300000</v>
      </c>
      <c r="G10" s="10">
        <f t="shared" ref="G10:G19" si="1">F10-E10</f>
        <v>0</v>
      </c>
      <c r="H10" s="209">
        <f t="shared" si="0"/>
        <v>0</v>
      </c>
      <c r="I10" s="1" t="s">
        <v>11</v>
      </c>
      <c r="J10" s="35"/>
      <c r="K10" s="36"/>
      <c r="L10" s="36"/>
      <c r="M10" s="37"/>
      <c r="N10" s="36"/>
      <c r="O10" s="36"/>
      <c r="P10" s="37"/>
      <c r="Q10" s="36"/>
      <c r="R10" s="36"/>
      <c r="S10" s="37"/>
      <c r="T10" s="120"/>
      <c r="U10" s="15">
        <f>SUM(U11:U12)</f>
        <v>300000</v>
      </c>
    </row>
    <row r="11" spans="2:27" ht="24.95" customHeight="1">
      <c r="B11" s="98"/>
      <c r="C11" s="120"/>
      <c r="D11" s="107" t="s">
        <v>50</v>
      </c>
      <c r="E11" s="8">
        <v>300000</v>
      </c>
      <c r="F11" s="10">
        <v>300000</v>
      </c>
      <c r="G11" s="10">
        <f>F11-E11</f>
        <v>0</v>
      </c>
      <c r="H11" s="209">
        <f t="shared" si="0"/>
        <v>0</v>
      </c>
      <c r="I11" s="1" t="s">
        <v>50</v>
      </c>
      <c r="J11" s="35"/>
      <c r="K11" s="49"/>
      <c r="L11" s="36"/>
      <c r="M11" s="37"/>
      <c r="N11" s="49"/>
      <c r="O11" s="36"/>
      <c r="P11" s="37"/>
      <c r="Q11" s="49"/>
      <c r="R11" s="36"/>
      <c r="S11" s="37"/>
      <c r="T11" s="107"/>
      <c r="U11" s="227">
        <v>300000</v>
      </c>
    </row>
    <row r="12" spans="2:27" ht="9.9499999999999993" hidden="1" customHeight="1">
      <c r="B12" s="98"/>
      <c r="C12" s="120"/>
      <c r="D12" s="120"/>
      <c r="E12" s="8"/>
      <c r="F12" s="10"/>
      <c r="G12" s="10">
        <f t="shared" si="1"/>
        <v>0</v>
      </c>
      <c r="H12" s="209" t="e">
        <f t="shared" si="0"/>
        <v>#DIV/0!</v>
      </c>
      <c r="I12" s="14"/>
      <c r="J12" s="35">
        <v>1300000</v>
      </c>
      <c r="K12" s="36" t="s">
        <v>16</v>
      </c>
      <c r="L12" s="36" t="s">
        <v>17</v>
      </c>
      <c r="M12" s="37">
        <v>10</v>
      </c>
      <c r="N12" s="36" t="s">
        <v>18</v>
      </c>
      <c r="O12" s="36" t="s">
        <v>17</v>
      </c>
      <c r="P12" s="37">
        <v>10</v>
      </c>
      <c r="Q12" s="36" t="s">
        <v>18</v>
      </c>
      <c r="R12" s="36" t="s">
        <v>17</v>
      </c>
      <c r="S12" s="37">
        <v>1</v>
      </c>
      <c r="T12" s="120" t="s">
        <v>19</v>
      </c>
      <c r="U12" s="15"/>
    </row>
    <row r="13" spans="2:27" ht="24.95" customHeight="1">
      <c r="B13" s="75" t="s">
        <v>356</v>
      </c>
      <c r="C13" s="107" t="s">
        <v>356</v>
      </c>
      <c r="D13" s="120" t="s">
        <v>10</v>
      </c>
      <c r="E13" s="8">
        <v>1932000</v>
      </c>
      <c r="F13" s="8">
        <f>U13</f>
        <v>3672000</v>
      </c>
      <c r="G13" s="10">
        <f t="shared" si="1"/>
        <v>1740000</v>
      </c>
      <c r="H13" s="209">
        <v>0</v>
      </c>
      <c r="I13" s="1" t="s">
        <v>12</v>
      </c>
      <c r="J13" s="35"/>
      <c r="K13" s="36"/>
      <c r="L13" s="36"/>
      <c r="M13" s="37"/>
      <c r="N13" s="36"/>
      <c r="O13" s="36"/>
      <c r="P13" s="37"/>
      <c r="Q13" s="36"/>
      <c r="R13" s="36"/>
      <c r="S13" s="37"/>
      <c r="T13" s="120"/>
      <c r="U13" s="15">
        <f>SUM(U14)</f>
        <v>3672000</v>
      </c>
      <c r="AA13" s="3"/>
    </row>
    <row r="14" spans="2:27" ht="24.95" customHeight="1">
      <c r="B14" s="98"/>
      <c r="C14" s="94"/>
      <c r="D14" s="107" t="s">
        <v>356</v>
      </c>
      <c r="E14" s="8">
        <v>1932000</v>
      </c>
      <c r="F14" s="8">
        <f>U13</f>
        <v>3672000</v>
      </c>
      <c r="G14" s="10">
        <f>F14-E14</f>
        <v>1740000</v>
      </c>
      <c r="H14" s="209">
        <v>0</v>
      </c>
      <c r="I14" s="1" t="s">
        <v>156</v>
      </c>
      <c r="J14" s="35">
        <v>918000</v>
      </c>
      <c r="K14" s="49" t="s">
        <v>16</v>
      </c>
      <c r="L14" s="36" t="s">
        <v>17</v>
      </c>
      <c r="M14" s="37">
        <v>4</v>
      </c>
      <c r="N14" s="36" t="s">
        <v>20</v>
      </c>
      <c r="O14" s="36"/>
      <c r="P14" s="37"/>
      <c r="Q14" s="120"/>
      <c r="R14" s="120"/>
      <c r="S14" s="120"/>
      <c r="T14" s="120"/>
      <c r="U14" s="15">
        <f>J14*M14</f>
        <v>3672000</v>
      </c>
    </row>
    <row r="15" spans="2:27" ht="24.95" customHeight="1">
      <c r="B15" s="65" t="s">
        <v>42</v>
      </c>
      <c r="C15" s="107" t="s">
        <v>42</v>
      </c>
      <c r="D15" s="120" t="s">
        <v>10</v>
      </c>
      <c r="E15" s="8">
        <v>132369</v>
      </c>
      <c r="F15" s="8">
        <f>SUM(F16:F17)</f>
        <v>83000</v>
      </c>
      <c r="G15" s="10">
        <f t="shared" si="1"/>
        <v>-49369</v>
      </c>
      <c r="H15" s="209">
        <v>0</v>
      </c>
      <c r="I15" s="1" t="s">
        <v>61</v>
      </c>
      <c r="J15" s="35"/>
      <c r="K15" s="36"/>
      <c r="L15" s="36"/>
      <c r="M15" s="37"/>
      <c r="N15" s="36"/>
      <c r="O15" s="36"/>
      <c r="P15" s="37"/>
      <c r="Q15" s="36"/>
      <c r="R15" s="36"/>
      <c r="S15" s="37"/>
      <c r="T15" s="120"/>
      <c r="U15" s="15">
        <f>SUM(U16:U17)</f>
        <v>83000</v>
      </c>
    </row>
    <row r="16" spans="2:27" ht="24.95" customHeight="1">
      <c r="B16" s="98"/>
      <c r="C16" s="120"/>
      <c r="D16" s="107" t="s">
        <v>60</v>
      </c>
      <c r="E16" s="8">
        <v>3549</v>
      </c>
      <c r="F16" s="10">
        <f>U16</f>
        <v>23000</v>
      </c>
      <c r="G16" s="10">
        <f t="shared" si="1"/>
        <v>19451</v>
      </c>
      <c r="H16" s="209">
        <v>0</v>
      </c>
      <c r="I16" s="1" t="s">
        <v>157</v>
      </c>
      <c r="J16" s="35"/>
      <c r="K16" s="36"/>
      <c r="L16" s="36"/>
      <c r="M16" s="37"/>
      <c r="N16" s="36"/>
      <c r="O16" s="36"/>
      <c r="P16" s="37"/>
      <c r="Q16" s="36"/>
      <c r="R16" s="36"/>
      <c r="S16" s="37"/>
      <c r="T16" s="120"/>
      <c r="U16" s="15">
        <v>23000</v>
      </c>
      <c r="X16" s="4">
        <v>1296000</v>
      </c>
    </row>
    <row r="17" spans="2:24" ht="24.95" customHeight="1">
      <c r="B17" s="98"/>
      <c r="C17" s="120"/>
      <c r="D17" s="107" t="s">
        <v>52</v>
      </c>
      <c r="E17" s="8">
        <v>128820</v>
      </c>
      <c r="F17" s="10">
        <f>U17</f>
        <v>60000</v>
      </c>
      <c r="G17" s="10">
        <f>F17-E17</f>
        <v>-68820</v>
      </c>
      <c r="H17" s="209">
        <v>0</v>
      </c>
      <c r="I17" s="1" t="s">
        <v>158</v>
      </c>
      <c r="J17" s="35"/>
      <c r="K17" s="36"/>
      <c r="L17" s="36"/>
      <c r="M17" s="37"/>
      <c r="N17" s="36"/>
      <c r="O17" s="36"/>
      <c r="P17" s="37"/>
      <c r="Q17" s="36"/>
      <c r="R17" s="36"/>
      <c r="S17" s="37"/>
      <c r="T17" s="120"/>
      <c r="U17" s="15">
        <v>60000</v>
      </c>
      <c r="X17" s="4">
        <f>2376000+X16</f>
        <v>3672000</v>
      </c>
    </row>
    <row r="18" spans="2:24" ht="24.95" customHeight="1">
      <c r="B18" s="98" t="s">
        <v>13</v>
      </c>
      <c r="C18" s="120" t="s">
        <v>13</v>
      </c>
      <c r="D18" s="120" t="s">
        <v>10</v>
      </c>
      <c r="E18" s="8">
        <v>3631</v>
      </c>
      <c r="F18" s="8">
        <f>SUM(F19:F19)</f>
        <v>4000</v>
      </c>
      <c r="G18" s="10">
        <f t="shared" si="1"/>
        <v>369</v>
      </c>
      <c r="H18" s="209">
        <f t="shared" si="0"/>
        <v>10.162489672266588</v>
      </c>
      <c r="I18" s="14" t="s">
        <v>13</v>
      </c>
      <c r="J18" s="35"/>
      <c r="K18" s="36"/>
      <c r="L18" s="36"/>
      <c r="M18" s="37"/>
      <c r="N18" s="36"/>
      <c r="O18" s="36"/>
      <c r="P18" s="37"/>
      <c r="Q18" s="36"/>
      <c r="R18" s="36"/>
      <c r="S18" s="37"/>
      <c r="T18" s="120" t="s">
        <v>1</v>
      </c>
      <c r="U18" s="15">
        <f>SUM(U19:U19)</f>
        <v>4000</v>
      </c>
      <c r="X18" s="3">
        <f>X17-U14</f>
        <v>0</v>
      </c>
    </row>
    <row r="19" spans="2:24" ht="24.95" customHeight="1" thickBot="1">
      <c r="B19" s="43"/>
      <c r="C19" s="41"/>
      <c r="D19" s="68" t="s">
        <v>53</v>
      </c>
      <c r="E19" s="132">
        <v>3631</v>
      </c>
      <c r="F19" s="132">
        <f>U19</f>
        <v>4000</v>
      </c>
      <c r="G19" s="44">
        <f t="shared" si="1"/>
        <v>369</v>
      </c>
      <c r="H19" s="210">
        <f t="shared" si="0"/>
        <v>10.162489672266588</v>
      </c>
      <c r="I19" s="69" t="s">
        <v>341</v>
      </c>
      <c r="J19" s="45">
        <v>2000</v>
      </c>
      <c r="K19" s="247" t="s">
        <v>16</v>
      </c>
      <c r="L19" s="46" t="s">
        <v>17</v>
      </c>
      <c r="M19" s="47">
        <v>2</v>
      </c>
      <c r="N19" s="46" t="s">
        <v>20</v>
      </c>
      <c r="O19" s="46"/>
      <c r="P19" s="47"/>
      <c r="Q19" s="46"/>
      <c r="R19" s="46"/>
      <c r="S19" s="47"/>
      <c r="T19" s="41"/>
      <c r="U19" s="48">
        <f>M19*J19</f>
        <v>4000</v>
      </c>
      <c r="X19" s="3">
        <f>X18/12</f>
        <v>0</v>
      </c>
    </row>
    <row r="20" spans="2:24">
      <c r="X20" s="3"/>
    </row>
    <row r="21" spans="2:24">
      <c r="X21" s="3"/>
    </row>
    <row r="22" spans="2:24">
      <c r="U22" s="416"/>
    </row>
    <row r="24" spans="2:24">
      <c r="F24" s="138"/>
    </row>
  </sheetData>
  <mergeCells count="9">
    <mergeCell ref="G4:H4"/>
    <mergeCell ref="I4:U5"/>
    <mergeCell ref="B6:D6"/>
    <mergeCell ref="B3:C3"/>
    <mergeCell ref="B4:B5"/>
    <mergeCell ref="C4:C5"/>
    <mergeCell ref="D4:D5"/>
    <mergeCell ref="E4:E5"/>
    <mergeCell ref="F4:F5"/>
  </mergeCells>
  <phoneticPr fontId="2" type="noConversion"/>
  <printOptions horizontalCentered="1"/>
  <pageMargins left="0.15748031496062992" right="0.15748031496062992" top="0.19685039370078741" bottom="0.39370078740157483" header="0.19685039370078741" footer="0"/>
  <pageSetup paperSize="9" scale="74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Z22"/>
  <sheetViews>
    <sheetView view="pageBreakPreview" topLeftCell="B1" zoomScale="75" zoomScaleSheetLayoutView="75" workbookViewId="0">
      <selection activeCell="F30" sqref="F30"/>
    </sheetView>
  </sheetViews>
  <sheetFormatPr defaultRowHeight="18" customHeight="1"/>
  <cols>
    <col min="1" max="1" width="1.77734375" style="4" customWidth="1"/>
    <col min="2" max="2" width="11.109375" style="4" customWidth="1"/>
    <col min="3" max="3" width="11.44140625" style="4" customWidth="1"/>
    <col min="4" max="4" width="16.109375" style="4" customWidth="1"/>
    <col min="5" max="6" width="13" style="4" customWidth="1"/>
    <col min="7" max="7" width="12.44140625" style="4" customWidth="1"/>
    <col min="8" max="8" width="10.77734375" style="25" customWidth="1"/>
    <col min="9" max="9" width="25" style="4" customWidth="1"/>
    <col min="10" max="10" width="13.21875" style="5" customWidth="1"/>
    <col min="11" max="12" width="3.77734375" style="5" customWidth="1"/>
    <col min="13" max="13" width="6.77734375" style="5" customWidth="1"/>
    <col min="14" max="15" width="3.77734375" style="5" customWidth="1"/>
    <col min="16" max="16" width="8.6640625" style="5" bestFit="1" customWidth="1"/>
    <col min="17" max="17" width="3.77734375" style="5" customWidth="1"/>
    <col min="18" max="18" width="2.44140625" style="5" bestFit="1" customWidth="1"/>
    <col min="19" max="19" width="4.109375" style="5" bestFit="1" customWidth="1"/>
    <col min="20" max="20" width="3.21875" style="5" bestFit="1" customWidth="1"/>
    <col min="21" max="21" width="13.77734375" style="4" customWidth="1"/>
    <col min="22" max="22" width="6.5546875" style="4" customWidth="1"/>
    <col min="23" max="23" width="11.109375" style="4" customWidth="1"/>
    <col min="24" max="24" width="12.6640625" style="4" bestFit="1" customWidth="1"/>
    <col min="25" max="25" width="8.88671875" style="4"/>
    <col min="26" max="26" width="11.5546875" style="4" bestFit="1" customWidth="1"/>
    <col min="27" max="16384" width="8.88671875" style="4"/>
  </cols>
  <sheetData>
    <row r="2" spans="2:26" ht="18" customHeight="1">
      <c r="E2" s="3"/>
      <c r="F2" s="3"/>
      <c r="G2" s="138"/>
    </row>
    <row r="3" spans="2:26" ht="18" customHeight="1">
      <c r="J3" s="418"/>
      <c r="U3" s="416"/>
    </row>
    <row r="4" spans="2:26" s="56" customFormat="1" ht="32.1" customHeight="1" thickBot="1">
      <c r="B4" s="2" t="s">
        <v>138</v>
      </c>
      <c r="C4" s="54"/>
      <c r="D4" s="54"/>
      <c r="E4" s="54"/>
      <c r="F4" s="230">
        <f>[1]세입!F6-'세출 (2)'!F7</f>
        <v>0</v>
      </c>
      <c r="G4" s="54"/>
      <c r="H4" s="57"/>
      <c r="I4" s="58"/>
      <c r="J4" s="58"/>
      <c r="K4" s="54"/>
      <c r="L4" s="54"/>
      <c r="M4" s="54"/>
      <c r="N4" s="54"/>
      <c r="O4" s="54"/>
      <c r="P4" s="54"/>
      <c r="Q4" s="54"/>
      <c r="R4" s="54"/>
      <c r="S4" s="54"/>
      <c r="T4" s="54"/>
      <c r="U4" s="55" t="s">
        <v>44</v>
      </c>
    </row>
    <row r="5" spans="2:26" ht="24.95" customHeight="1">
      <c r="B5" s="321" t="s">
        <v>2</v>
      </c>
      <c r="C5" s="322" t="s">
        <v>3</v>
      </c>
      <c r="D5" s="322" t="s">
        <v>4</v>
      </c>
      <c r="E5" s="354" t="s">
        <v>202</v>
      </c>
      <c r="F5" s="354" t="s">
        <v>231</v>
      </c>
      <c r="G5" s="322" t="s">
        <v>5</v>
      </c>
      <c r="H5" s="322"/>
      <c r="I5" s="359" t="s">
        <v>100</v>
      </c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36"/>
    </row>
    <row r="6" spans="2:26" ht="24.95" customHeight="1" thickBot="1">
      <c r="B6" s="327"/>
      <c r="C6" s="328"/>
      <c r="D6" s="328"/>
      <c r="E6" s="355"/>
      <c r="F6" s="355"/>
      <c r="G6" s="268" t="s">
        <v>6</v>
      </c>
      <c r="H6" s="26" t="s">
        <v>7</v>
      </c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60"/>
    </row>
    <row r="7" spans="2:26" ht="24.95" customHeight="1" thickBot="1">
      <c r="B7" s="337" t="s">
        <v>8</v>
      </c>
      <c r="C7" s="361"/>
      <c r="D7" s="361"/>
      <c r="E7" s="211">
        <v>23812000</v>
      </c>
      <c r="F7" s="211">
        <f>SUM(F8,F12,F16,)</f>
        <v>25503000</v>
      </c>
      <c r="G7" s="211">
        <f>F7-E7</f>
        <v>1691000</v>
      </c>
      <c r="H7" s="213">
        <f>F7/E7*100-100</f>
        <v>7.1014614480094025</v>
      </c>
      <c r="I7" s="72"/>
      <c r="J7" s="73"/>
      <c r="U7" s="74">
        <f>U8+U12+U16</f>
        <v>25503000</v>
      </c>
    </row>
    <row r="8" spans="2:26" ht="24.95" customHeight="1">
      <c r="B8" s="99" t="s">
        <v>180</v>
      </c>
      <c r="C8" s="362" t="s">
        <v>10</v>
      </c>
      <c r="D8" s="363"/>
      <c r="E8" s="206">
        <v>430185</v>
      </c>
      <c r="F8" s="206">
        <f>SUM(F9)</f>
        <v>381000</v>
      </c>
      <c r="G8" s="206">
        <f>F8-E8</f>
        <v>-49185</v>
      </c>
      <c r="H8" s="208">
        <f>F8/E8*100-100</f>
        <v>-11.433453049269502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">
        <f>SUM(U9)</f>
        <v>381000</v>
      </c>
    </row>
    <row r="9" spans="2:26" ht="24.95" customHeight="1">
      <c r="B9" s="98"/>
      <c r="C9" s="107" t="s">
        <v>26</v>
      </c>
      <c r="D9" s="107" t="s">
        <v>9</v>
      </c>
      <c r="E9" s="10">
        <v>430185</v>
      </c>
      <c r="F9" s="10">
        <f>SUM(F10,F11)</f>
        <v>381000</v>
      </c>
      <c r="G9" s="10">
        <f>F9-E9</f>
        <v>-49185</v>
      </c>
      <c r="H9" s="209">
        <f>F9/E9*100-100</f>
        <v>-11.433453049269502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5">
        <f>SUM(U10,U11)</f>
        <v>381000</v>
      </c>
    </row>
    <row r="10" spans="2:26" ht="24.95" customHeight="1">
      <c r="B10" s="98"/>
      <c r="C10" s="120"/>
      <c r="D10" s="107" t="s">
        <v>28</v>
      </c>
      <c r="E10" s="10">
        <v>355185</v>
      </c>
      <c r="F10" s="10">
        <f>U10</f>
        <v>300000</v>
      </c>
      <c r="G10" s="10">
        <f>F10-E10</f>
        <v>-55185</v>
      </c>
      <c r="H10" s="209">
        <f t="shared" ref="H10" si="0">F10/E10*100-100</f>
        <v>-15.536973689767308</v>
      </c>
      <c r="I10" s="1" t="s">
        <v>40</v>
      </c>
      <c r="J10" s="35"/>
      <c r="K10" s="36"/>
      <c r="L10" s="36"/>
      <c r="M10" s="37"/>
      <c r="N10" s="36"/>
      <c r="O10" s="36"/>
      <c r="P10" s="37"/>
      <c r="Q10" s="120"/>
      <c r="R10" s="14"/>
      <c r="S10" s="14"/>
      <c r="T10" s="14"/>
      <c r="U10" s="15">
        <v>300000</v>
      </c>
    </row>
    <row r="11" spans="2:26" ht="24.95" customHeight="1">
      <c r="B11" s="98"/>
      <c r="C11" s="120"/>
      <c r="D11" s="107" t="s">
        <v>30</v>
      </c>
      <c r="E11" s="10">
        <v>75000</v>
      </c>
      <c r="F11" s="10">
        <f>U11</f>
        <v>81000</v>
      </c>
      <c r="G11" s="10">
        <f t="shared" ref="G11:G18" si="1">F11-E11</f>
        <v>6000</v>
      </c>
      <c r="H11" s="209"/>
      <c r="I11" s="70" t="s">
        <v>30</v>
      </c>
      <c r="J11" s="35"/>
      <c r="K11" s="36"/>
      <c r="L11" s="36"/>
      <c r="M11" s="37"/>
      <c r="N11" s="36"/>
      <c r="O11" s="36"/>
      <c r="P11" s="37"/>
      <c r="Q11" s="120"/>
      <c r="R11" s="120"/>
      <c r="S11" s="120"/>
      <c r="T11" s="120"/>
      <c r="U11" s="15">
        <v>81000</v>
      </c>
    </row>
    <row r="12" spans="2:26" ht="24.95" customHeight="1">
      <c r="B12" s="65" t="s">
        <v>357</v>
      </c>
      <c r="C12" s="356" t="s">
        <v>358</v>
      </c>
      <c r="D12" s="358"/>
      <c r="E12" s="10">
        <v>23376000</v>
      </c>
      <c r="F12" s="10">
        <f>SUM(F13)</f>
        <v>25116000</v>
      </c>
      <c r="G12" s="10">
        <f t="shared" si="1"/>
        <v>1740000</v>
      </c>
      <c r="H12" s="209">
        <f t="shared" ref="H12:H18" si="2">F12/E12*100-100</f>
        <v>7.4435318275154003</v>
      </c>
      <c r="I12" s="71"/>
      <c r="J12" s="35"/>
      <c r="K12" s="36"/>
      <c r="L12" s="36"/>
      <c r="M12" s="37"/>
      <c r="N12" s="36"/>
      <c r="O12" s="36"/>
      <c r="P12" s="37"/>
      <c r="Q12" s="36"/>
      <c r="R12" s="120"/>
      <c r="S12" s="120"/>
      <c r="T12" s="120"/>
      <c r="U12" s="15">
        <f>SUM(U13)</f>
        <v>25116000</v>
      </c>
    </row>
    <row r="13" spans="2:26" ht="30" customHeight="1">
      <c r="B13" s="65"/>
      <c r="C13" s="78" t="s">
        <v>359</v>
      </c>
      <c r="D13" s="107" t="s">
        <v>360</v>
      </c>
      <c r="E13" s="10">
        <v>23376000</v>
      </c>
      <c r="F13" s="10">
        <f>SUM(F14,F15)</f>
        <v>25116000</v>
      </c>
      <c r="G13" s="10">
        <f t="shared" si="1"/>
        <v>1740000</v>
      </c>
      <c r="H13" s="209"/>
      <c r="I13" s="14"/>
      <c r="J13" s="35"/>
      <c r="K13" s="36"/>
      <c r="L13" s="36"/>
      <c r="M13" s="37"/>
      <c r="N13" s="36"/>
      <c r="O13" s="36"/>
      <c r="P13" s="37"/>
      <c r="Q13" s="36"/>
      <c r="R13" s="120"/>
      <c r="S13" s="120"/>
      <c r="T13" s="120"/>
      <c r="U13" s="15">
        <f>SUM(U14:U15)</f>
        <v>25116000</v>
      </c>
    </row>
    <row r="14" spans="2:26" ht="24.95" customHeight="1">
      <c r="B14" s="98"/>
      <c r="C14" s="107"/>
      <c r="D14" s="107" t="s">
        <v>361</v>
      </c>
      <c r="E14" s="10">
        <v>11184000</v>
      </c>
      <c r="F14" s="10">
        <f>U14</f>
        <v>11796000</v>
      </c>
      <c r="G14" s="10">
        <f t="shared" si="1"/>
        <v>612000</v>
      </c>
      <c r="H14" s="209">
        <f t="shared" si="2"/>
        <v>5.4721030042918386</v>
      </c>
      <c r="I14" s="1" t="s">
        <v>361</v>
      </c>
      <c r="J14" s="35"/>
      <c r="K14" s="36"/>
      <c r="L14" s="36"/>
      <c r="M14" s="37"/>
      <c r="N14" s="49"/>
      <c r="O14" s="36"/>
      <c r="P14" s="37"/>
      <c r="Q14" s="107"/>
      <c r="R14" s="36"/>
      <c r="S14" s="120"/>
      <c r="T14" s="107"/>
      <c r="U14" s="15">
        <v>11796000</v>
      </c>
      <c r="V14" s="219" t="s">
        <v>362</v>
      </c>
      <c r="W14" s="138">
        <v>10500000</v>
      </c>
      <c r="X14" s="4">
        <v>1296000</v>
      </c>
      <c r="Y14" s="219" t="s">
        <v>363</v>
      </c>
      <c r="Z14" s="138">
        <f>X14+W14</f>
        <v>11796000</v>
      </c>
    </row>
    <row r="15" spans="2:26" ht="24.95" customHeight="1">
      <c r="B15" s="98"/>
      <c r="C15" s="120"/>
      <c r="D15" s="107" t="s">
        <v>364</v>
      </c>
      <c r="E15" s="10">
        <v>12192000</v>
      </c>
      <c r="F15" s="10">
        <f>U15</f>
        <v>13320000</v>
      </c>
      <c r="G15" s="10">
        <f t="shared" si="1"/>
        <v>1128000</v>
      </c>
      <c r="H15" s="209">
        <f t="shared" si="2"/>
        <v>9.2519685039370074</v>
      </c>
      <c r="I15" s="1" t="s">
        <v>364</v>
      </c>
      <c r="J15" s="35"/>
      <c r="K15" s="36"/>
      <c r="L15" s="36"/>
      <c r="M15" s="37"/>
      <c r="N15" s="49"/>
      <c r="O15" s="36"/>
      <c r="P15" s="37"/>
      <c r="Q15" s="107"/>
      <c r="R15" s="36"/>
      <c r="S15" s="120"/>
      <c r="T15" s="107"/>
      <c r="U15" s="15">
        <v>13320000</v>
      </c>
      <c r="V15" s="219" t="s">
        <v>362</v>
      </c>
      <c r="W15" s="138">
        <v>10944000</v>
      </c>
      <c r="X15" s="4">
        <v>2112000</v>
      </c>
      <c r="Y15" s="219" t="s">
        <v>363</v>
      </c>
      <c r="Z15" s="138">
        <f>X15+W15</f>
        <v>13056000</v>
      </c>
    </row>
    <row r="16" spans="2:26" ht="24.95" customHeight="1">
      <c r="B16" s="65" t="s">
        <v>365</v>
      </c>
      <c r="C16" s="356" t="s">
        <v>358</v>
      </c>
      <c r="D16" s="358"/>
      <c r="E16" s="10">
        <v>5815</v>
      </c>
      <c r="F16" s="10">
        <f>F17</f>
        <v>6000</v>
      </c>
      <c r="G16" s="10">
        <f>F16-E16</f>
        <v>185</v>
      </c>
      <c r="H16" s="209">
        <f t="shared" si="2"/>
        <v>3.1814273430782407</v>
      </c>
      <c r="I16" s="14"/>
      <c r="J16" s="35"/>
      <c r="K16" s="36"/>
      <c r="L16" s="36"/>
      <c r="M16" s="37"/>
      <c r="N16" s="36"/>
      <c r="O16" s="36"/>
      <c r="P16" s="37"/>
      <c r="Q16" s="120"/>
      <c r="R16" s="120"/>
      <c r="S16" s="120"/>
      <c r="T16" s="120"/>
      <c r="U16" s="15">
        <f>SUM(U17,)</f>
        <v>6000</v>
      </c>
      <c r="X16" s="4">
        <v>264000</v>
      </c>
    </row>
    <row r="17" spans="2:24" ht="24.95" customHeight="1">
      <c r="B17" s="75"/>
      <c r="C17" s="107" t="s">
        <v>365</v>
      </c>
      <c r="D17" s="107" t="s">
        <v>360</v>
      </c>
      <c r="E17" s="10">
        <v>5815</v>
      </c>
      <c r="F17" s="10">
        <f>U17</f>
        <v>6000</v>
      </c>
      <c r="G17" s="10">
        <f t="shared" si="1"/>
        <v>185</v>
      </c>
      <c r="H17" s="209">
        <f>F17/E17*100-100</f>
        <v>3.1814273430782407</v>
      </c>
      <c r="I17" s="14"/>
      <c r="J17" s="35" t="s">
        <v>366</v>
      </c>
      <c r="K17" s="36" t="s">
        <v>366</v>
      </c>
      <c r="L17" s="36" t="s">
        <v>366</v>
      </c>
      <c r="M17" s="37" t="s">
        <v>366</v>
      </c>
      <c r="N17" s="36" t="s">
        <v>366</v>
      </c>
      <c r="O17" s="36" t="s">
        <v>366</v>
      </c>
      <c r="P17" s="37" t="s">
        <v>366</v>
      </c>
      <c r="Q17" s="120" t="s">
        <v>366</v>
      </c>
      <c r="R17" s="120"/>
      <c r="S17" s="120"/>
      <c r="T17" s="120"/>
      <c r="U17" s="15">
        <f>SUM(U18:U19)</f>
        <v>6000</v>
      </c>
      <c r="X17" s="138">
        <f>W15+X15+X16</f>
        <v>13320000</v>
      </c>
    </row>
    <row r="18" spans="2:24" ht="24.95" customHeight="1">
      <c r="B18" s="75"/>
      <c r="C18" s="107"/>
      <c r="D18" s="107" t="s">
        <v>367</v>
      </c>
      <c r="E18" s="10">
        <v>2851</v>
      </c>
      <c r="F18" s="10">
        <f>U18</f>
        <v>3000</v>
      </c>
      <c r="G18" s="10">
        <f t="shared" si="1"/>
        <v>149</v>
      </c>
      <c r="H18" s="209">
        <f t="shared" si="2"/>
        <v>5.2262364082777992</v>
      </c>
      <c r="I18" s="1" t="s">
        <v>367</v>
      </c>
      <c r="J18" s="42">
        <v>1500</v>
      </c>
      <c r="K18" s="49" t="s">
        <v>363</v>
      </c>
      <c r="L18" s="36" t="s">
        <v>368</v>
      </c>
      <c r="M18" s="37">
        <v>2</v>
      </c>
      <c r="N18" s="36" t="s">
        <v>369</v>
      </c>
      <c r="O18" s="36"/>
      <c r="P18" s="37"/>
      <c r="Q18" s="120"/>
      <c r="R18" s="120"/>
      <c r="S18" s="120"/>
      <c r="T18" s="120"/>
      <c r="U18" s="15">
        <f>J18*M18</f>
        <v>3000</v>
      </c>
    </row>
    <row r="19" spans="2:24" ht="24.95" customHeight="1" thickBot="1">
      <c r="B19" s="419"/>
      <c r="C19" s="68"/>
      <c r="D19" s="68" t="s">
        <v>370</v>
      </c>
      <c r="E19" s="44">
        <v>2964</v>
      </c>
      <c r="F19" s="44">
        <f>U19</f>
        <v>3000</v>
      </c>
      <c r="G19" s="44"/>
      <c r="H19" s="210"/>
      <c r="I19" s="69" t="s">
        <v>370</v>
      </c>
      <c r="J19" s="420">
        <v>1500</v>
      </c>
      <c r="K19" s="247" t="s">
        <v>363</v>
      </c>
      <c r="L19" s="46" t="s">
        <v>368</v>
      </c>
      <c r="M19" s="47">
        <v>2</v>
      </c>
      <c r="N19" s="46" t="s">
        <v>369</v>
      </c>
      <c r="O19" s="46"/>
      <c r="P19" s="47"/>
      <c r="Q19" s="41"/>
      <c r="R19" s="41"/>
      <c r="S19" s="41"/>
      <c r="T19" s="41"/>
      <c r="U19" s="48">
        <f>M19*J19</f>
        <v>3000</v>
      </c>
    </row>
    <row r="20" spans="2:24" ht="18" customHeight="1">
      <c r="D20" s="5"/>
      <c r="E20" s="176"/>
      <c r="F20" s="176"/>
      <c r="G20" s="176"/>
      <c r="H20" s="6"/>
    </row>
    <row r="21" spans="2:24" ht="18" customHeight="1">
      <c r="D21" s="5"/>
      <c r="E21" s="16"/>
      <c r="F21" s="16"/>
      <c r="G21" s="16"/>
      <c r="H21" s="6"/>
      <c r="I21" s="5" t="s">
        <v>371</v>
      </c>
      <c r="J21" s="5" t="s">
        <v>366</v>
      </c>
    </row>
    <row r="22" spans="2:24" ht="18" customHeight="1">
      <c r="J22" s="31"/>
      <c r="U22" s="416"/>
    </row>
  </sheetData>
  <mergeCells count="11">
    <mergeCell ref="I5:U6"/>
    <mergeCell ref="B7:D7"/>
    <mergeCell ref="C8:D8"/>
    <mergeCell ref="C12:D12"/>
    <mergeCell ref="C16:D16"/>
    <mergeCell ref="B5:B6"/>
    <mergeCell ref="C5:C6"/>
    <mergeCell ref="D5:D6"/>
    <mergeCell ref="E5:E6"/>
    <mergeCell ref="F5:F6"/>
    <mergeCell ref="G5:H5"/>
  </mergeCells>
  <phoneticPr fontId="2" type="noConversion"/>
  <printOptions horizontalCentered="1"/>
  <pageMargins left="0.15748031496062992" right="0.15748031496062992" top="0.19685039370078741" bottom="0.39370078740157483" header="0.19685039370078741" footer="0"/>
  <pageSetup paperSize="9" scale="68" fitToHeight="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3:Y28"/>
  <sheetViews>
    <sheetView view="pageBreakPreview" zoomScale="75" zoomScaleNormal="85" zoomScaleSheetLayoutView="75" workbookViewId="0">
      <selection activeCell="E22" sqref="E22"/>
    </sheetView>
  </sheetViews>
  <sheetFormatPr defaultRowHeight="13.5"/>
  <cols>
    <col min="1" max="1" width="2.6640625" style="4" customWidth="1"/>
    <col min="2" max="2" width="10.77734375" style="4" customWidth="1"/>
    <col min="3" max="3" width="10.21875" style="4" customWidth="1"/>
    <col min="4" max="4" width="16.5546875" style="4" customWidth="1"/>
    <col min="5" max="5" width="16" style="17" bestFit="1" customWidth="1"/>
    <col min="6" max="6" width="15.33203125" style="4" bestFit="1" customWidth="1"/>
    <col min="7" max="7" width="11.6640625" style="4" customWidth="1"/>
    <col min="8" max="8" width="9.21875" style="4" customWidth="1"/>
    <col min="9" max="9" width="23.77734375" style="4" customWidth="1"/>
    <col min="10" max="10" width="12.77734375" style="4" customWidth="1"/>
    <col min="11" max="12" width="3.77734375" style="4" customWidth="1"/>
    <col min="13" max="13" width="6.77734375" style="4" customWidth="1"/>
    <col min="14" max="15" width="3.77734375" style="4" customWidth="1"/>
    <col min="16" max="16" width="5.77734375" style="4" customWidth="1"/>
    <col min="17" max="17" width="3.77734375" style="4" customWidth="1"/>
    <col min="18" max="18" width="13.77734375" style="4" customWidth="1"/>
    <col min="19" max="19" width="8.88671875" style="4"/>
    <col min="20" max="20" width="7.33203125" style="4" customWidth="1"/>
    <col min="21" max="21" width="2.77734375" style="218" customWidth="1"/>
    <col min="22" max="23" width="2.77734375" style="4" customWidth="1"/>
    <col min="24" max="24" width="3.5546875" style="4" bestFit="1" customWidth="1"/>
    <col min="25" max="25" width="10.6640625" style="4" customWidth="1"/>
    <col min="26" max="16384" width="8.88671875" style="4"/>
  </cols>
  <sheetData>
    <row r="3" spans="2:24" s="56" customFormat="1" ht="37.5" customHeight="1" thickBot="1">
      <c r="B3" s="353" t="s">
        <v>137</v>
      </c>
      <c r="C3" s="353"/>
      <c r="D3" s="54"/>
      <c r="E3" s="55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5" t="s">
        <v>44</v>
      </c>
      <c r="U3" s="220"/>
    </row>
    <row r="4" spans="2:24" ht="24.95" customHeight="1">
      <c r="B4" s="321" t="s">
        <v>2</v>
      </c>
      <c r="C4" s="322" t="s">
        <v>3</v>
      </c>
      <c r="D4" s="322" t="s">
        <v>4</v>
      </c>
      <c r="E4" s="354" t="s">
        <v>202</v>
      </c>
      <c r="F4" s="354" t="s">
        <v>203</v>
      </c>
      <c r="G4" s="322" t="s">
        <v>5</v>
      </c>
      <c r="H4" s="322"/>
      <c r="I4" s="347" t="s">
        <v>139</v>
      </c>
      <c r="J4" s="348"/>
      <c r="K4" s="348"/>
      <c r="L4" s="348"/>
      <c r="M4" s="348"/>
      <c r="N4" s="348"/>
      <c r="O4" s="348"/>
      <c r="P4" s="348"/>
      <c r="Q4" s="348"/>
      <c r="R4" s="349"/>
    </row>
    <row r="5" spans="2:24" ht="24.95" customHeight="1" thickBot="1">
      <c r="B5" s="327"/>
      <c r="C5" s="328"/>
      <c r="D5" s="328"/>
      <c r="E5" s="355"/>
      <c r="F5" s="355"/>
      <c r="G5" s="23" t="s">
        <v>6</v>
      </c>
      <c r="H5" s="23" t="s">
        <v>7</v>
      </c>
      <c r="I5" s="350"/>
      <c r="J5" s="351"/>
      <c r="K5" s="351"/>
      <c r="L5" s="351"/>
      <c r="M5" s="351"/>
      <c r="N5" s="351"/>
      <c r="O5" s="351"/>
      <c r="P5" s="351"/>
      <c r="Q5" s="351"/>
      <c r="R5" s="352"/>
    </row>
    <row r="6" spans="2:24" ht="24.95" customHeight="1" thickBot="1">
      <c r="B6" s="337" t="s">
        <v>8</v>
      </c>
      <c r="C6" s="338"/>
      <c r="D6" s="338"/>
      <c r="E6" s="204">
        <f>E7+E12+E16+E18+E21</f>
        <v>172970000</v>
      </c>
      <c r="F6" s="204">
        <f>F7+F12+F18+F21+F16</f>
        <v>178070000</v>
      </c>
      <c r="G6" s="204">
        <f>F6-E6</f>
        <v>5100000</v>
      </c>
      <c r="H6" s="207">
        <f>F6/E6*100-100</f>
        <v>2.9484881771405469</v>
      </c>
      <c r="I6" s="19"/>
      <c r="J6" s="20"/>
      <c r="K6" s="21"/>
      <c r="L6" s="21"/>
      <c r="M6" s="21"/>
      <c r="N6" s="21"/>
      <c r="O6" s="21"/>
      <c r="P6" s="21"/>
      <c r="Q6" s="21"/>
      <c r="R6" s="22">
        <f>SUM(R7+R12+R16+R18+R21)</f>
        <v>179390000</v>
      </c>
    </row>
    <row r="7" spans="2:24" ht="24.95" customHeight="1">
      <c r="B7" s="105" t="s">
        <v>0</v>
      </c>
      <c r="C7" s="102" t="s">
        <v>0</v>
      </c>
      <c r="D7" s="39" t="s">
        <v>10</v>
      </c>
      <c r="E7" s="205">
        <v>147490000</v>
      </c>
      <c r="F7" s="10">
        <f>R7</f>
        <v>148320000</v>
      </c>
      <c r="G7" s="206">
        <f>F7-E7</f>
        <v>830000</v>
      </c>
      <c r="H7" s="208">
        <f>F7/E7*100-100</f>
        <v>0.56275001695030369</v>
      </c>
      <c r="I7" s="66" t="s">
        <v>0</v>
      </c>
      <c r="J7" s="12"/>
      <c r="K7" s="12"/>
      <c r="L7" s="12"/>
      <c r="M7" s="12"/>
      <c r="N7" s="12"/>
      <c r="O7" s="12"/>
      <c r="P7" s="12"/>
      <c r="Q7" s="12"/>
      <c r="R7" s="109">
        <f>SUM(R9+R49+R11+R10)</f>
        <v>148320000</v>
      </c>
    </row>
    <row r="8" spans="2:24" ht="24.95" customHeight="1">
      <c r="B8" s="98"/>
      <c r="C8" s="100"/>
      <c r="D8" s="101" t="s">
        <v>43</v>
      </c>
      <c r="E8" s="10">
        <v>143170000</v>
      </c>
      <c r="F8" s="10">
        <f>R8</f>
        <v>144000000</v>
      </c>
      <c r="G8" s="10">
        <f>F8-E8</f>
        <v>830000</v>
      </c>
      <c r="H8" s="209">
        <f t="shared" ref="H8:H23" si="0">F8/E8*100-100</f>
        <v>0.57973039044492225</v>
      </c>
      <c r="I8" s="1" t="s">
        <v>183</v>
      </c>
      <c r="J8" s="14"/>
      <c r="K8" s="14"/>
      <c r="L8" s="14"/>
      <c r="M8" s="14"/>
      <c r="N8" s="14"/>
      <c r="O8" s="14"/>
      <c r="P8" s="14"/>
      <c r="Q8" s="14"/>
      <c r="R8" s="108">
        <f>R9+R10</f>
        <v>144000000</v>
      </c>
      <c r="S8" s="219"/>
    </row>
    <row r="9" spans="2:24" ht="24.95" customHeight="1">
      <c r="B9" s="98"/>
      <c r="C9" s="120"/>
      <c r="D9" s="107"/>
      <c r="E9" s="10"/>
      <c r="F9" s="10"/>
      <c r="G9" s="10"/>
      <c r="H9" s="209"/>
      <c r="I9" s="1" t="s">
        <v>184</v>
      </c>
      <c r="J9" s="226">
        <v>34750000</v>
      </c>
      <c r="K9" s="36" t="s">
        <v>16</v>
      </c>
      <c r="L9" s="49" t="s">
        <v>17</v>
      </c>
      <c r="M9" s="37">
        <v>4</v>
      </c>
      <c r="N9" s="49" t="s">
        <v>55</v>
      </c>
      <c r="O9" s="36"/>
      <c r="P9" s="37"/>
      <c r="Q9" s="36"/>
      <c r="R9" s="227">
        <f>J9*M9</f>
        <v>139000000</v>
      </c>
      <c r="U9" s="224"/>
    </row>
    <row r="10" spans="2:24" ht="24.95" customHeight="1">
      <c r="B10" s="98"/>
      <c r="C10" s="120"/>
      <c r="D10" s="107"/>
      <c r="E10" s="10"/>
      <c r="F10" s="10"/>
      <c r="G10" s="10"/>
      <c r="H10" s="209"/>
      <c r="I10" s="1" t="s">
        <v>242</v>
      </c>
      <c r="J10" s="226">
        <v>2500000</v>
      </c>
      <c r="K10" s="49" t="s">
        <v>243</v>
      </c>
      <c r="L10" s="49" t="s">
        <v>244</v>
      </c>
      <c r="M10" s="37">
        <v>2</v>
      </c>
      <c r="N10" s="49" t="s">
        <v>245</v>
      </c>
      <c r="O10" s="36"/>
      <c r="P10" s="37"/>
      <c r="Q10" s="36"/>
      <c r="R10" s="227">
        <f>J10*M10</f>
        <v>5000000</v>
      </c>
      <c r="U10" s="243"/>
    </row>
    <row r="11" spans="2:24" ht="24.95" customHeight="1">
      <c r="B11" s="98"/>
      <c r="C11" s="120"/>
      <c r="D11" s="107" t="s">
        <v>48</v>
      </c>
      <c r="E11" s="8">
        <v>4320000</v>
      </c>
      <c r="F11" s="10">
        <f t="shared" ref="F11" si="1">R11</f>
        <v>4320000</v>
      </c>
      <c r="G11" s="10">
        <f t="shared" ref="G11:G23" si="2">F11-E11</f>
        <v>0</v>
      </c>
      <c r="H11" s="209">
        <f t="shared" si="0"/>
        <v>0</v>
      </c>
      <c r="I11" s="1" t="s">
        <v>185</v>
      </c>
      <c r="J11" s="35">
        <v>120000</v>
      </c>
      <c r="K11" s="36" t="s">
        <v>16</v>
      </c>
      <c r="L11" s="36" t="s">
        <v>17</v>
      </c>
      <c r="M11" s="37">
        <v>3</v>
      </c>
      <c r="N11" s="36" t="s">
        <v>19</v>
      </c>
      <c r="O11" s="49" t="s">
        <v>17</v>
      </c>
      <c r="P11" s="37">
        <v>12</v>
      </c>
      <c r="Q11" s="49" t="s">
        <v>18</v>
      </c>
      <c r="R11" s="227">
        <f>J11*M11*P11</f>
        <v>4320000</v>
      </c>
      <c r="U11" s="224"/>
    </row>
    <row r="12" spans="2:24" ht="24.95" customHeight="1">
      <c r="B12" s="65" t="s">
        <v>11</v>
      </c>
      <c r="C12" s="120" t="s">
        <v>11</v>
      </c>
      <c r="D12" s="120" t="s">
        <v>10</v>
      </c>
      <c r="E12" s="8">
        <v>15500000</v>
      </c>
      <c r="F12" s="10">
        <f>R12</f>
        <v>16000000</v>
      </c>
      <c r="G12" s="10">
        <f t="shared" si="2"/>
        <v>500000</v>
      </c>
      <c r="H12" s="209">
        <f t="shared" si="0"/>
        <v>3.2258064516128968</v>
      </c>
      <c r="I12" s="1" t="s">
        <v>204</v>
      </c>
      <c r="J12" s="35"/>
      <c r="K12" s="36"/>
      <c r="L12" s="36"/>
      <c r="M12" s="37"/>
      <c r="N12" s="36"/>
      <c r="O12" s="36"/>
      <c r="P12" s="37"/>
      <c r="Q12" s="120"/>
      <c r="R12" s="15">
        <f>SUM(R13:R15)</f>
        <v>16000000</v>
      </c>
      <c r="U12" s="224"/>
    </row>
    <row r="13" spans="2:24" ht="24.95" customHeight="1">
      <c r="B13" s="98"/>
      <c r="C13" s="120"/>
      <c r="D13" s="107" t="s">
        <v>49</v>
      </c>
      <c r="E13" s="8">
        <v>500000</v>
      </c>
      <c r="F13" s="10">
        <f>R13</f>
        <v>1000000</v>
      </c>
      <c r="G13" s="10">
        <f>F13-E13</f>
        <v>500000</v>
      </c>
      <c r="H13" s="209">
        <f>F13/E13*100-100</f>
        <v>100</v>
      </c>
      <c r="I13" s="1" t="s">
        <v>219</v>
      </c>
      <c r="J13" s="35"/>
      <c r="K13" s="49"/>
      <c r="L13" s="36"/>
      <c r="M13" s="37"/>
      <c r="N13" s="49"/>
      <c r="O13" s="36"/>
      <c r="P13" s="37"/>
      <c r="Q13" s="107"/>
      <c r="R13" s="227">
        <v>1000000</v>
      </c>
      <c r="U13" s="224"/>
    </row>
    <row r="14" spans="2:24" ht="9.9499999999999993" hidden="1" customHeight="1">
      <c r="B14" s="98"/>
      <c r="C14" s="120"/>
      <c r="D14" s="120"/>
      <c r="E14" s="8"/>
      <c r="F14" s="10"/>
      <c r="G14" s="10">
        <f t="shared" si="2"/>
        <v>0</v>
      </c>
      <c r="H14" s="209" t="e">
        <f t="shared" si="0"/>
        <v>#DIV/0!</v>
      </c>
      <c r="I14" s="14"/>
      <c r="J14" s="35">
        <v>1300000</v>
      </c>
      <c r="K14" s="36" t="s">
        <v>16</v>
      </c>
      <c r="L14" s="36" t="s">
        <v>17</v>
      </c>
      <c r="M14" s="37">
        <v>10</v>
      </c>
      <c r="N14" s="36" t="s">
        <v>18</v>
      </c>
      <c r="O14" s="36" t="s">
        <v>17</v>
      </c>
      <c r="P14" s="37">
        <v>1</v>
      </c>
      <c r="Q14" s="120" t="s">
        <v>19</v>
      </c>
      <c r="R14" s="15"/>
      <c r="U14" s="224"/>
    </row>
    <row r="15" spans="2:24" ht="24.95" customHeight="1">
      <c r="B15" s="98"/>
      <c r="C15" s="120"/>
      <c r="D15" s="107" t="s">
        <v>50</v>
      </c>
      <c r="E15" s="8">
        <v>15000000</v>
      </c>
      <c r="F15" s="10">
        <f>R15</f>
        <v>15000000</v>
      </c>
      <c r="G15" s="10">
        <f t="shared" si="2"/>
        <v>0</v>
      </c>
      <c r="H15" s="209">
        <f t="shared" si="0"/>
        <v>0</v>
      </c>
      <c r="I15" s="1" t="s">
        <v>155</v>
      </c>
      <c r="J15" s="35"/>
      <c r="K15" s="36"/>
      <c r="L15" s="36"/>
      <c r="M15" s="37"/>
      <c r="N15" s="36"/>
      <c r="O15" s="36"/>
      <c r="P15" s="37"/>
      <c r="Q15" s="120"/>
      <c r="R15" s="15">
        <v>15000000</v>
      </c>
      <c r="U15" s="224"/>
    </row>
    <row r="16" spans="2:24" ht="24.95" customHeight="1">
      <c r="B16" s="98" t="s">
        <v>12</v>
      </c>
      <c r="C16" s="120" t="s">
        <v>12</v>
      </c>
      <c r="D16" s="120" t="s">
        <v>10</v>
      </c>
      <c r="E16" s="8">
        <v>2700000</v>
      </c>
      <c r="F16" s="8">
        <f>R16</f>
        <v>4800000</v>
      </c>
      <c r="G16" s="10">
        <f t="shared" si="2"/>
        <v>2100000</v>
      </c>
      <c r="H16" s="209">
        <v>0</v>
      </c>
      <c r="I16" s="1" t="s">
        <v>58</v>
      </c>
      <c r="J16" s="35"/>
      <c r="K16" s="36"/>
      <c r="L16" s="36"/>
      <c r="M16" s="37"/>
      <c r="N16" s="36"/>
      <c r="O16" s="36"/>
      <c r="P16" s="37"/>
      <c r="Q16" s="120"/>
      <c r="R16" s="15">
        <f>SUM(R17)</f>
        <v>4800000</v>
      </c>
      <c r="U16" s="224"/>
      <c r="X16" s="3"/>
    </row>
    <row r="17" spans="2:25" ht="24.95" customHeight="1">
      <c r="B17" s="98"/>
      <c r="C17" s="120"/>
      <c r="D17" s="120" t="s">
        <v>12</v>
      </c>
      <c r="E17" s="8">
        <v>2700000</v>
      </c>
      <c r="F17" s="8">
        <f>R17</f>
        <v>4800000</v>
      </c>
      <c r="G17" s="10">
        <f>F17-E17</f>
        <v>2100000</v>
      </c>
      <c r="H17" s="209">
        <v>0</v>
      </c>
      <c r="I17" s="1" t="s">
        <v>156</v>
      </c>
      <c r="J17" s="35">
        <v>1200000</v>
      </c>
      <c r="K17" s="49" t="s">
        <v>57</v>
      </c>
      <c r="L17" s="36" t="s">
        <v>17</v>
      </c>
      <c r="M17" s="67">
        <v>4</v>
      </c>
      <c r="N17" s="49" t="s">
        <v>59</v>
      </c>
      <c r="O17" s="36"/>
      <c r="P17" s="37"/>
      <c r="Q17" s="120"/>
      <c r="R17" s="227">
        <f>J17*M17</f>
        <v>4800000</v>
      </c>
      <c r="U17" s="224"/>
    </row>
    <row r="18" spans="2:25" ht="24.95" customHeight="1">
      <c r="B18" s="65" t="s">
        <v>51</v>
      </c>
      <c r="C18" s="101" t="s">
        <v>42</v>
      </c>
      <c r="D18" s="38" t="s">
        <v>10</v>
      </c>
      <c r="E18" s="8">
        <v>5770413</v>
      </c>
      <c r="F18" s="8">
        <f>SUM(F19:F20)</f>
        <v>7600000</v>
      </c>
      <c r="G18" s="10">
        <f t="shared" si="2"/>
        <v>1829587</v>
      </c>
      <c r="H18" s="209">
        <v>0</v>
      </c>
      <c r="I18" s="1" t="s">
        <v>61</v>
      </c>
      <c r="J18" s="35"/>
      <c r="K18" s="36"/>
      <c r="L18" s="36"/>
      <c r="M18" s="37"/>
      <c r="N18" s="36"/>
      <c r="O18" s="36"/>
      <c r="P18" s="37"/>
      <c r="Q18" s="38"/>
      <c r="R18" s="15">
        <f>SUM(R19:R20)</f>
        <v>7600000</v>
      </c>
    </row>
    <row r="19" spans="2:25" ht="24.95" customHeight="1">
      <c r="B19" s="98"/>
      <c r="C19" s="100"/>
      <c r="D19" s="101" t="s">
        <v>60</v>
      </c>
      <c r="E19" s="8">
        <v>348281</v>
      </c>
      <c r="F19" s="10">
        <f>R19</f>
        <v>600000</v>
      </c>
      <c r="G19" s="10">
        <f t="shared" si="2"/>
        <v>251719</v>
      </c>
      <c r="H19" s="209">
        <v>0</v>
      </c>
      <c r="I19" s="1" t="s">
        <v>157</v>
      </c>
      <c r="J19" s="35">
        <v>600000</v>
      </c>
      <c r="K19" s="36" t="s">
        <v>16</v>
      </c>
      <c r="L19" s="36" t="s">
        <v>17</v>
      </c>
      <c r="M19" s="37">
        <v>1</v>
      </c>
      <c r="N19" s="36" t="s">
        <v>20</v>
      </c>
      <c r="O19" s="36"/>
      <c r="P19" s="37"/>
      <c r="Q19" s="38"/>
      <c r="R19" s="15">
        <f>J19*M19</f>
        <v>600000</v>
      </c>
    </row>
    <row r="20" spans="2:25" ht="24.95" customHeight="1">
      <c r="B20" s="98"/>
      <c r="C20" s="100"/>
      <c r="D20" s="101" t="s">
        <v>52</v>
      </c>
      <c r="E20" s="8">
        <v>5422132</v>
      </c>
      <c r="F20" s="10">
        <f>R20</f>
        <v>7000000</v>
      </c>
      <c r="G20" s="10">
        <f t="shared" si="2"/>
        <v>1577868</v>
      </c>
      <c r="H20" s="209">
        <v>0</v>
      </c>
      <c r="I20" s="1" t="s">
        <v>158</v>
      </c>
      <c r="J20" s="35">
        <v>7000000</v>
      </c>
      <c r="K20" s="36" t="s">
        <v>16</v>
      </c>
      <c r="L20" s="36" t="s">
        <v>17</v>
      </c>
      <c r="M20" s="37">
        <v>1</v>
      </c>
      <c r="N20" s="36" t="s">
        <v>20</v>
      </c>
      <c r="O20" s="36"/>
      <c r="P20" s="37"/>
      <c r="Q20" s="61"/>
      <c r="R20" s="15">
        <f>J20*M20</f>
        <v>7000000</v>
      </c>
    </row>
    <row r="21" spans="2:25" ht="24.95" customHeight="1">
      <c r="B21" s="98" t="s">
        <v>13</v>
      </c>
      <c r="C21" s="120" t="s">
        <v>13</v>
      </c>
      <c r="D21" s="120" t="s">
        <v>10</v>
      </c>
      <c r="E21" s="8">
        <f>SUM(E22:E23)</f>
        <v>1509587</v>
      </c>
      <c r="F21" s="8">
        <f>SUM(F22:F25)</f>
        <v>1350000</v>
      </c>
      <c r="G21" s="10">
        <f t="shared" si="2"/>
        <v>-159587</v>
      </c>
      <c r="H21" s="209">
        <f>F21/E21*100-100</f>
        <v>-10.571566925258367</v>
      </c>
      <c r="I21" s="14" t="s">
        <v>13</v>
      </c>
      <c r="J21" s="35"/>
      <c r="K21" s="36" t="s">
        <v>1</v>
      </c>
      <c r="L21" s="36" t="s">
        <v>1</v>
      </c>
      <c r="M21" s="231" t="s">
        <v>1</v>
      </c>
      <c r="N21" s="232" t="s">
        <v>1</v>
      </c>
      <c r="O21" s="232" t="s">
        <v>1</v>
      </c>
      <c r="P21" s="37" t="s">
        <v>1</v>
      </c>
      <c r="Q21" s="120" t="s">
        <v>1</v>
      </c>
      <c r="R21" s="15">
        <f>SUM(R22:R25)</f>
        <v>2670000</v>
      </c>
      <c r="U21" s="221"/>
    </row>
    <row r="22" spans="2:25" ht="24.95" customHeight="1">
      <c r="B22" s="98"/>
      <c r="C22" s="120"/>
      <c r="D22" s="107" t="s">
        <v>53</v>
      </c>
      <c r="E22" s="8">
        <v>29587</v>
      </c>
      <c r="F22" s="8">
        <f>R22</f>
        <v>30000</v>
      </c>
      <c r="G22" s="10">
        <f t="shared" si="2"/>
        <v>413</v>
      </c>
      <c r="H22" s="209">
        <f t="shared" si="0"/>
        <v>1.3958833271369144</v>
      </c>
      <c r="I22" s="1" t="s">
        <v>341</v>
      </c>
      <c r="J22" s="35">
        <v>15000</v>
      </c>
      <c r="K22" s="36" t="s">
        <v>16</v>
      </c>
      <c r="L22" s="49" t="s">
        <v>17</v>
      </c>
      <c r="M22" s="37">
        <v>2</v>
      </c>
      <c r="N22" s="36" t="s">
        <v>20</v>
      </c>
      <c r="O22" s="36"/>
      <c r="P22" s="37"/>
      <c r="Q22" s="120"/>
      <c r="R22" s="15">
        <f>J22*M22</f>
        <v>30000</v>
      </c>
      <c r="U22" s="221"/>
    </row>
    <row r="23" spans="2:25" ht="24.95" customHeight="1">
      <c r="B23" s="255"/>
      <c r="C23" s="256"/>
      <c r="D23" s="257" t="s">
        <v>340</v>
      </c>
      <c r="E23" s="258">
        <v>1480000</v>
      </c>
      <c r="F23" s="258">
        <f>R23</f>
        <v>1320000</v>
      </c>
      <c r="G23" s="10">
        <f t="shared" si="2"/>
        <v>-160000</v>
      </c>
      <c r="H23" s="209">
        <f t="shared" si="0"/>
        <v>-10.810810810810807</v>
      </c>
      <c r="I23" s="261" t="s">
        <v>342</v>
      </c>
      <c r="J23" s="262"/>
      <c r="K23" s="263"/>
      <c r="L23" s="264"/>
      <c r="M23" s="265"/>
      <c r="N23" s="263"/>
      <c r="O23" s="263"/>
      <c r="P23" s="265"/>
      <c r="Q23" s="256"/>
      <c r="R23" s="266">
        <f>SUM(R24:R25)</f>
        <v>1320000</v>
      </c>
      <c r="U23" s="221"/>
    </row>
    <row r="24" spans="2:25" ht="24.95" customHeight="1">
      <c r="B24" s="255"/>
      <c r="C24" s="256"/>
      <c r="D24" s="257"/>
      <c r="E24" s="258"/>
      <c r="F24" s="258"/>
      <c r="G24" s="259"/>
      <c r="H24" s="260"/>
      <c r="I24" s="261" t="s">
        <v>343</v>
      </c>
      <c r="J24" s="262">
        <v>20000</v>
      </c>
      <c r="K24" s="264" t="s">
        <v>344</v>
      </c>
      <c r="L24" s="264" t="s">
        <v>345</v>
      </c>
      <c r="M24" s="265">
        <v>1</v>
      </c>
      <c r="N24" s="264" t="s">
        <v>346</v>
      </c>
      <c r="O24" s="264" t="s">
        <v>345</v>
      </c>
      <c r="P24" s="265">
        <v>12</v>
      </c>
      <c r="Q24" s="257" t="s">
        <v>347</v>
      </c>
      <c r="R24" s="266">
        <f>J24*M24*P24</f>
        <v>240000</v>
      </c>
      <c r="U24" s="221"/>
    </row>
    <row r="25" spans="2:25" ht="24.95" customHeight="1" thickBot="1">
      <c r="B25" s="233"/>
      <c r="C25" s="234"/>
      <c r="D25" s="68"/>
      <c r="E25" s="132"/>
      <c r="F25" s="132"/>
      <c r="G25" s="44"/>
      <c r="H25" s="210"/>
      <c r="I25" s="69"/>
      <c r="J25" s="45">
        <v>30000</v>
      </c>
      <c r="K25" s="247" t="s">
        <v>246</v>
      </c>
      <c r="L25" s="247" t="s">
        <v>258</v>
      </c>
      <c r="M25" s="47">
        <v>3</v>
      </c>
      <c r="N25" s="247" t="s">
        <v>259</v>
      </c>
      <c r="O25" s="247" t="s">
        <v>260</v>
      </c>
      <c r="P25" s="47">
        <v>12</v>
      </c>
      <c r="Q25" s="68" t="s">
        <v>172</v>
      </c>
      <c r="R25" s="48">
        <f>J25*M25*P25</f>
        <v>1080000</v>
      </c>
      <c r="S25" s="235"/>
      <c r="T25" s="236"/>
      <c r="U25" s="237"/>
      <c r="V25" s="238"/>
      <c r="W25" s="237"/>
      <c r="X25" s="238"/>
      <c r="Y25" s="239"/>
    </row>
    <row r="26" spans="2:25" ht="22.5" customHeight="1">
      <c r="S26" s="222"/>
      <c r="T26" s="222"/>
      <c r="U26" s="223"/>
      <c r="V26" s="222"/>
      <c r="W26" s="222"/>
      <c r="X26" s="222"/>
      <c r="Y26" s="240"/>
    </row>
    <row r="27" spans="2:25">
      <c r="U27" s="221"/>
    </row>
    <row r="28" spans="2:25">
      <c r="U28" s="224"/>
    </row>
  </sheetData>
  <mergeCells count="9">
    <mergeCell ref="G4:H4"/>
    <mergeCell ref="I4:R5"/>
    <mergeCell ref="B6:D6"/>
    <mergeCell ref="B3:C3"/>
    <mergeCell ref="B4:B5"/>
    <mergeCell ref="C4:C5"/>
    <mergeCell ref="D4:D5"/>
    <mergeCell ref="F4:F5"/>
    <mergeCell ref="E4:E5"/>
  </mergeCells>
  <phoneticPr fontId="2" type="noConversion"/>
  <printOptions horizontalCentered="1"/>
  <pageMargins left="0.15748031496062992" right="0.15748031496062992" top="0.19685039370078741" bottom="0.39370078740157483" header="0.19685039370078741" footer="0"/>
  <pageSetup paperSize="9" scale="73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Y128"/>
  <sheetViews>
    <sheetView view="pageBreakPreview" zoomScale="75" zoomScaleSheetLayoutView="75" workbookViewId="0">
      <selection activeCell="O103" sqref="O103"/>
    </sheetView>
  </sheetViews>
  <sheetFormatPr defaultRowHeight="18" customHeight="1"/>
  <cols>
    <col min="1" max="1" width="1.77734375" style="4" customWidth="1"/>
    <col min="2" max="3" width="11.109375" style="4" customWidth="1"/>
    <col min="4" max="4" width="16.109375" style="4" customWidth="1"/>
    <col min="5" max="6" width="14.44140625" style="4" customWidth="1"/>
    <col min="7" max="7" width="11.33203125" style="4" customWidth="1"/>
    <col min="8" max="8" width="9" style="25" customWidth="1"/>
    <col min="9" max="9" width="25" style="4" customWidth="1"/>
    <col min="10" max="10" width="13.21875" style="5" customWidth="1"/>
    <col min="11" max="12" width="3.77734375" style="5" customWidth="1"/>
    <col min="13" max="13" width="6.77734375" style="5" customWidth="1"/>
    <col min="14" max="15" width="3.77734375" style="5" customWidth="1"/>
    <col min="16" max="16" width="8.6640625" style="5" bestFit="1" customWidth="1"/>
    <col min="17" max="17" width="3.77734375" style="5" customWidth="1"/>
    <col min="18" max="18" width="2.44140625" style="5" bestFit="1" customWidth="1"/>
    <col min="19" max="19" width="4.109375" style="5" bestFit="1" customWidth="1"/>
    <col min="20" max="20" width="3.21875" style="5" bestFit="1" customWidth="1"/>
    <col min="21" max="21" width="13.77734375" style="4" customWidth="1"/>
    <col min="22" max="22" width="13.77734375" style="3" bestFit="1" customWidth="1"/>
    <col min="23" max="24" width="8.88671875" style="4"/>
    <col min="25" max="25" width="11.5546875" style="4" bestFit="1" customWidth="1"/>
    <col min="26" max="16384" width="8.88671875" style="4"/>
  </cols>
  <sheetData>
    <row r="2" spans="2:25" s="56" customFormat="1" ht="35.25" customHeight="1" thickBot="1">
      <c r="B2" s="2" t="s">
        <v>138</v>
      </c>
      <c r="C2" s="54"/>
      <c r="D2" s="54"/>
      <c r="E2" s="54"/>
      <c r="F2" s="230"/>
      <c r="G2" s="54"/>
      <c r="H2" s="57"/>
      <c r="I2" s="58"/>
      <c r="J2" s="58"/>
      <c r="K2" s="54"/>
      <c r="L2" s="54"/>
      <c r="M2" s="54"/>
      <c r="N2" s="54"/>
      <c r="O2" s="54"/>
      <c r="P2" s="54"/>
      <c r="Q2" s="54"/>
      <c r="R2" s="54"/>
      <c r="S2" s="54"/>
      <c r="T2" s="54"/>
      <c r="U2" s="59" t="s">
        <v>44</v>
      </c>
      <c r="V2" s="60"/>
    </row>
    <row r="3" spans="2:25" ht="21.75" customHeight="1">
      <c r="B3" s="321" t="s">
        <v>2</v>
      </c>
      <c r="C3" s="322" t="s">
        <v>3</v>
      </c>
      <c r="D3" s="322" t="s">
        <v>4</v>
      </c>
      <c r="E3" s="364" t="s">
        <v>232</v>
      </c>
      <c r="F3" s="364" t="s">
        <v>231</v>
      </c>
      <c r="G3" s="322" t="s">
        <v>5</v>
      </c>
      <c r="H3" s="322"/>
      <c r="I3" s="359" t="s">
        <v>100</v>
      </c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36"/>
    </row>
    <row r="4" spans="2:25" ht="21.75" customHeight="1" thickBot="1">
      <c r="B4" s="327"/>
      <c r="C4" s="328"/>
      <c r="D4" s="328"/>
      <c r="E4" s="365"/>
      <c r="F4" s="365"/>
      <c r="G4" s="23" t="s">
        <v>6</v>
      </c>
      <c r="H4" s="26" t="s">
        <v>7</v>
      </c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60"/>
    </row>
    <row r="5" spans="2:25" ht="24.95" customHeight="1" thickBot="1">
      <c r="B5" s="337" t="s">
        <v>8</v>
      </c>
      <c r="C5" s="361"/>
      <c r="D5" s="361"/>
      <c r="E5" s="211">
        <f>SUM(E6,E58,E62,E118,E121)</f>
        <v>172970000</v>
      </c>
      <c r="F5" s="211">
        <f>SUM(F6,F58,F62,F118,F121)</f>
        <v>178070000</v>
      </c>
      <c r="G5" s="211">
        <f>F5-E5</f>
        <v>5100000</v>
      </c>
      <c r="H5" s="213">
        <f>F5/E5*100-100</f>
        <v>2.9484881771405469</v>
      </c>
      <c r="I5" s="72"/>
      <c r="J5" s="73"/>
      <c r="U5" s="74">
        <f>U6+U58+U62+U118+U121</f>
        <v>178070000</v>
      </c>
      <c r="Y5" s="138">
        <f>세출!F5-세입!F6</f>
        <v>0</v>
      </c>
    </row>
    <row r="6" spans="2:25" ht="24.95" customHeight="1">
      <c r="B6" s="99" t="s">
        <v>180</v>
      </c>
      <c r="C6" s="362" t="s">
        <v>45</v>
      </c>
      <c r="D6" s="363"/>
      <c r="E6" s="206">
        <f>E7+E40+E43</f>
        <v>129475750</v>
      </c>
      <c r="F6" s="206">
        <f>F7+F40+F43</f>
        <v>137630560</v>
      </c>
      <c r="G6" s="206">
        <f>F6-E6</f>
        <v>8154810</v>
      </c>
      <c r="H6" s="208">
        <f>F6/E6*100-100</f>
        <v>6.2983299961575767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>
        <f>SUM(U7,U40,U43)</f>
        <v>137630560</v>
      </c>
      <c r="V6" s="3">
        <f>G5-재가노인지원!N6</f>
        <v>0</v>
      </c>
    </row>
    <row r="7" spans="2:25" ht="24.95" customHeight="1">
      <c r="B7" s="98"/>
      <c r="C7" s="103" t="s">
        <v>14</v>
      </c>
      <c r="D7" s="104" t="s">
        <v>46</v>
      </c>
      <c r="E7" s="10">
        <f>SUM(E8,E13,E31,E33,E39)</f>
        <v>110345750</v>
      </c>
      <c r="F7" s="10">
        <f>SUM(F8,F13,F31,F33,F39)</f>
        <v>117890560</v>
      </c>
      <c r="G7" s="10">
        <f>F7-E7</f>
        <v>7544810</v>
      </c>
      <c r="H7" s="209">
        <f>F7/E7*100-100</f>
        <v>6.8374269058844703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>
        <f>SUM(U8,U13,U31,U33,U39)</f>
        <v>117890560</v>
      </c>
    </row>
    <row r="8" spans="2:25" ht="24.95" customHeight="1">
      <c r="B8" s="98"/>
      <c r="C8" s="106"/>
      <c r="D8" s="106" t="s">
        <v>15</v>
      </c>
      <c r="E8" s="10">
        <v>70697990</v>
      </c>
      <c r="F8" s="10">
        <f>U8</f>
        <v>74054280</v>
      </c>
      <c r="G8" s="10">
        <f>F8-E8</f>
        <v>3356290</v>
      </c>
      <c r="H8" s="209">
        <f>F8/E8*100-100</f>
        <v>4.7473626902264243</v>
      </c>
      <c r="I8" s="1" t="s">
        <v>181</v>
      </c>
      <c r="J8" s="35"/>
      <c r="K8" s="36"/>
      <c r="L8" s="36"/>
      <c r="M8" s="37"/>
      <c r="N8" s="36"/>
      <c r="O8" s="36"/>
      <c r="P8" s="37"/>
      <c r="Q8" s="106"/>
      <c r="R8" s="14"/>
      <c r="S8" s="14"/>
      <c r="T8" s="14"/>
      <c r="U8" s="15">
        <f>SUM(U9:U12)</f>
        <v>74054280</v>
      </c>
    </row>
    <row r="9" spans="2:25" ht="24.95" customHeight="1">
      <c r="B9" s="98"/>
      <c r="C9" s="120"/>
      <c r="D9" s="120"/>
      <c r="E9" s="10"/>
      <c r="F9" s="10"/>
      <c r="G9" s="10">
        <f t="shared" ref="G9:G81" si="0">F9-E9</f>
        <v>0</v>
      </c>
      <c r="H9" s="209"/>
      <c r="I9" s="228" t="s">
        <v>221</v>
      </c>
      <c r="J9" s="35">
        <v>2252070</v>
      </c>
      <c r="K9" s="36" t="s">
        <v>16</v>
      </c>
      <c r="L9" s="36" t="s">
        <v>17</v>
      </c>
      <c r="M9" s="37">
        <v>12</v>
      </c>
      <c r="N9" s="36" t="s">
        <v>18</v>
      </c>
      <c r="O9" s="36" t="s">
        <v>17</v>
      </c>
      <c r="P9" s="37">
        <v>1</v>
      </c>
      <c r="Q9" s="120" t="s">
        <v>19</v>
      </c>
      <c r="R9" s="120"/>
      <c r="S9" s="120"/>
      <c r="T9" s="120"/>
      <c r="U9" s="15">
        <f t="shared" ref="U9:U11" si="1">J9*M9*P9</f>
        <v>27024840</v>
      </c>
      <c r="V9" s="3" t="s">
        <v>62</v>
      </c>
    </row>
    <row r="10" spans="2:25" ht="24.75" customHeight="1">
      <c r="B10" s="98"/>
      <c r="C10" s="120"/>
      <c r="D10" s="120"/>
      <c r="E10" s="10"/>
      <c r="F10" s="10"/>
      <c r="G10" s="10">
        <f t="shared" si="0"/>
        <v>0</v>
      </c>
      <c r="H10" s="209"/>
      <c r="I10" s="229" t="s">
        <v>207</v>
      </c>
      <c r="J10" s="35">
        <v>1546660</v>
      </c>
      <c r="K10" s="36" t="s">
        <v>16</v>
      </c>
      <c r="L10" s="36" t="s">
        <v>17</v>
      </c>
      <c r="M10" s="37">
        <v>12</v>
      </c>
      <c r="N10" s="36" t="s">
        <v>18</v>
      </c>
      <c r="O10" s="36" t="s">
        <v>17</v>
      </c>
      <c r="P10" s="37">
        <v>1</v>
      </c>
      <c r="Q10" s="120" t="s">
        <v>19</v>
      </c>
      <c r="R10" s="120"/>
      <c r="S10" s="120"/>
      <c r="T10" s="120"/>
      <c r="U10" s="15">
        <f>J10*M10*P10</f>
        <v>18559920</v>
      </c>
      <c r="V10" s="3" t="s">
        <v>63</v>
      </c>
    </row>
    <row r="11" spans="2:25" ht="24.95" customHeight="1">
      <c r="B11" s="98"/>
      <c r="C11" s="120"/>
      <c r="D11" s="120"/>
      <c r="E11" s="10"/>
      <c r="F11" s="10"/>
      <c r="G11" s="10"/>
      <c r="H11" s="209"/>
      <c r="I11" s="246" t="s">
        <v>253</v>
      </c>
      <c r="J11" s="35">
        <v>1640270</v>
      </c>
      <c r="K11" s="36" t="s">
        <v>16</v>
      </c>
      <c r="L11" s="36" t="s">
        <v>17</v>
      </c>
      <c r="M11" s="37">
        <v>12</v>
      </c>
      <c r="N11" s="36" t="s">
        <v>18</v>
      </c>
      <c r="O11" s="36" t="s">
        <v>17</v>
      </c>
      <c r="P11" s="37">
        <v>1</v>
      </c>
      <c r="Q11" s="120" t="s">
        <v>19</v>
      </c>
      <c r="R11" s="120"/>
      <c r="S11" s="120"/>
      <c r="T11" s="120"/>
      <c r="U11" s="15">
        <f t="shared" si="1"/>
        <v>19683240</v>
      </c>
      <c r="V11" s="3" t="s">
        <v>252</v>
      </c>
    </row>
    <row r="12" spans="2:25" ht="24.95" customHeight="1">
      <c r="B12" s="98"/>
      <c r="C12" s="120"/>
      <c r="D12" s="120"/>
      <c r="E12" s="10"/>
      <c r="F12" s="10"/>
      <c r="G12" s="10"/>
      <c r="H12" s="209"/>
      <c r="I12" s="229" t="s">
        <v>222</v>
      </c>
      <c r="J12" s="35">
        <v>732190</v>
      </c>
      <c r="K12" s="36" t="s">
        <v>16</v>
      </c>
      <c r="L12" s="36" t="s">
        <v>17</v>
      </c>
      <c r="M12" s="37">
        <v>12</v>
      </c>
      <c r="N12" s="36" t="s">
        <v>18</v>
      </c>
      <c r="O12" s="36" t="s">
        <v>17</v>
      </c>
      <c r="P12" s="37">
        <v>1</v>
      </c>
      <c r="Q12" s="120" t="s">
        <v>19</v>
      </c>
      <c r="R12" s="120"/>
      <c r="S12" s="120"/>
      <c r="T12" s="120"/>
      <c r="U12" s="15">
        <f t="shared" ref="U12" si="2">J12*M12*P12</f>
        <v>8786280</v>
      </c>
      <c r="V12" s="3" t="s">
        <v>64</v>
      </c>
    </row>
    <row r="13" spans="2:25" ht="24.95" customHeight="1">
      <c r="B13" s="98"/>
      <c r="C13" s="120"/>
      <c r="D13" s="120" t="s">
        <v>21</v>
      </c>
      <c r="E13" s="10">
        <v>22799730</v>
      </c>
      <c r="F13" s="10">
        <f>U13</f>
        <v>25046520</v>
      </c>
      <c r="G13" s="10">
        <f>F13-E13</f>
        <v>2246790</v>
      </c>
      <c r="H13" s="209">
        <f>F13/E13*100-100</f>
        <v>9.8544588028016022</v>
      </c>
      <c r="I13" s="14" t="s">
        <v>21</v>
      </c>
      <c r="J13" s="35" t="s">
        <v>1</v>
      </c>
      <c r="K13" s="36" t="s">
        <v>1</v>
      </c>
      <c r="L13" s="36" t="s">
        <v>1</v>
      </c>
      <c r="M13" s="37" t="s">
        <v>1</v>
      </c>
      <c r="N13" s="36" t="s">
        <v>1</v>
      </c>
      <c r="O13" s="36" t="s">
        <v>1</v>
      </c>
      <c r="P13" s="37" t="s">
        <v>1</v>
      </c>
      <c r="Q13" s="120" t="s">
        <v>1</v>
      </c>
      <c r="R13" s="120"/>
      <c r="S13" s="120"/>
      <c r="T13" s="120"/>
      <c r="U13" s="15">
        <f>+U26+U14+U23+U18</f>
        <v>25046520</v>
      </c>
    </row>
    <row r="14" spans="2:25" ht="24.95" customHeight="1">
      <c r="B14" s="98"/>
      <c r="C14" s="120"/>
      <c r="D14" s="120"/>
      <c r="E14" s="10"/>
      <c r="F14" s="10"/>
      <c r="G14" s="10"/>
      <c r="H14" s="209"/>
      <c r="I14" s="14" t="s">
        <v>177</v>
      </c>
      <c r="J14" s="35"/>
      <c r="K14" s="36"/>
      <c r="L14" s="36"/>
      <c r="M14" s="37"/>
      <c r="N14" s="36"/>
      <c r="O14" s="36"/>
      <c r="P14" s="37"/>
      <c r="Q14" s="120"/>
      <c r="R14" s="120"/>
      <c r="S14" s="120"/>
      <c r="T14" s="120"/>
      <c r="U14" s="15">
        <f>SUM(U15:U17)</f>
        <v>4320000</v>
      </c>
    </row>
    <row r="15" spans="2:25" ht="24.95" customHeight="1">
      <c r="B15" s="98"/>
      <c r="C15" s="120"/>
      <c r="D15" s="120"/>
      <c r="E15" s="10"/>
      <c r="F15" s="10"/>
      <c r="G15" s="10"/>
      <c r="H15" s="209"/>
      <c r="I15" s="228" t="s">
        <v>205</v>
      </c>
      <c r="J15" s="35">
        <v>120000</v>
      </c>
      <c r="K15" s="36" t="s">
        <v>16</v>
      </c>
      <c r="L15" s="36" t="s">
        <v>17</v>
      </c>
      <c r="M15" s="37">
        <v>12</v>
      </c>
      <c r="N15" s="36" t="s">
        <v>18</v>
      </c>
      <c r="O15" s="36" t="s">
        <v>17</v>
      </c>
      <c r="P15" s="37">
        <v>1</v>
      </c>
      <c r="Q15" s="120" t="s">
        <v>19</v>
      </c>
      <c r="R15" s="120"/>
      <c r="S15" s="120"/>
      <c r="T15" s="120"/>
      <c r="U15" s="15">
        <f t="shared" ref="U15:U16" si="3">J15*M15*P15</f>
        <v>1440000</v>
      </c>
      <c r="V15" s="3" t="s">
        <v>62</v>
      </c>
    </row>
    <row r="16" spans="2:25" ht="24.95" customHeight="1">
      <c r="B16" s="98"/>
      <c r="C16" s="120"/>
      <c r="D16" s="120"/>
      <c r="E16" s="10"/>
      <c r="F16" s="10"/>
      <c r="G16" s="10"/>
      <c r="H16" s="209"/>
      <c r="I16" s="229" t="s">
        <v>206</v>
      </c>
      <c r="J16" s="35">
        <v>120000</v>
      </c>
      <c r="K16" s="36" t="s">
        <v>16</v>
      </c>
      <c r="L16" s="36" t="s">
        <v>17</v>
      </c>
      <c r="M16" s="37">
        <v>12</v>
      </c>
      <c r="N16" s="36" t="s">
        <v>18</v>
      </c>
      <c r="O16" s="36" t="s">
        <v>17</v>
      </c>
      <c r="P16" s="37">
        <v>1</v>
      </c>
      <c r="Q16" s="120" t="s">
        <v>19</v>
      </c>
      <c r="R16" s="120"/>
      <c r="S16" s="120"/>
      <c r="T16" s="120"/>
      <c r="U16" s="15">
        <f t="shared" si="3"/>
        <v>1440000</v>
      </c>
      <c r="V16" s="3" t="s">
        <v>63</v>
      </c>
    </row>
    <row r="17" spans="2:22" ht="24.95" customHeight="1">
      <c r="B17" s="98"/>
      <c r="C17" s="120"/>
      <c r="D17" s="120"/>
      <c r="E17" s="10"/>
      <c r="F17" s="10"/>
      <c r="G17" s="10"/>
      <c r="H17" s="209"/>
      <c r="I17" s="246" t="s">
        <v>254</v>
      </c>
      <c r="J17" s="35">
        <v>120000</v>
      </c>
      <c r="K17" s="36" t="s">
        <v>16</v>
      </c>
      <c r="L17" s="36" t="s">
        <v>17</v>
      </c>
      <c r="M17" s="37">
        <v>12</v>
      </c>
      <c r="N17" s="36" t="s">
        <v>18</v>
      </c>
      <c r="O17" s="36" t="s">
        <v>17</v>
      </c>
      <c r="P17" s="37">
        <v>1</v>
      </c>
      <c r="Q17" s="120" t="s">
        <v>19</v>
      </c>
      <c r="R17" s="120"/>
      <c r="S17" s="120"/>
      <c r="T17" s="120"/>
      <c r="U17" s="15">
        <f t="shared" ref="U17:U25" si="4">J17*M17*P17</f>
        <v>1440000</v>
      </c>
      <c r="V17" s="3" t="s">
        <v>252</v>
      </c>
    </row>
    <row r="18" spans="2:22" ht="24.95" customHeight="1">
      <c r="B18" s="98"/>
      <c r="C18" s="120"/>
      <c r="D18" s="120"/>
      <c r="E18" s="10"/>
      <c r="F18" s="10"/>
      <c r="G18" s="10"/>
      <c r="H18" s="209"/>
      <c r="I18" s="14" t="s">
        <v>182</v>
      </c>
      <c r="J18" s="35"/>
      <c r="K18" s="36"/>
      <c r="L18" s="36"/>
      <c r="M18" s="37"/>
      <c r="N18" s="36"/>
      <c r="O18" s="36"/>
      <c r="P18" s="37"/>
      <c r="Q18" s="120"/>
      <c r="R18" s="120"/>
      <c r="S18" s="120"/>
      <c r="T18" s="120"/>
      <c r="U18" s="15">
        <f>SUM(U19:U22)</f>
        <v>12729720</v>
      </c>
    </row>
    <row r="19" spans="2:22" ht="24.95" customHeight="1">
      <c r="B19" s="98"/>
      <c r="C19" s="120"/>
      <c r="D19" s="120"/>
      <c r="E19" s="10"/>
      <c r="F19" s="10"/>
      <c r="G19" s="10"/>
      <c r="H19" s="209"/>
      <c r="I19" s="228" t="s">
        <v>221</v>
      </c>
      <c r="J19" s="35">
        <v>409930</v>
      </c>
      <c r="K19" s="36" t="s">
        <v>16</v>
      </c>
      <c r="L19" s="36" t="s">
        <v>17</v>
      </c>
      <c r="M19" s="37">
        <v>12</v>
      </c>
      <c r="N19" s="36" t="s">
        <v>18</v>
      </c>
      <c r="O19" s="36" t="s">
        <v>17</v>
      </c>
      <c r="P19" s="37">
        <v>1</v>
      </c>
      <c r="Q19" s="120" t="s">
        <v>19</v>
      </c>
      <c r="R19" s="120"/>
      <c r="S19" s="120"/>
      <c r="T19" s="120"/>
      <c r="U19" s="15">
        <f>J19*M19*P19</f>
        <v>4919160</v>
      </c>
      <c r="V19" s="3" t="s">
        <v>62</v>
      </c>
    </row>
    <row r="20" spans="2:22" ht="24.95" customHeight="1">
      <c r="B20" s="98"/>
      <c r="C20" s="120"/>
      <c r="D20" s="120"/>
      <c r="E20" s="10"/>
      <c r="F20" s="10"/>
      <c r="G20" s="10"/>
      <c r="H20" s="209"/>
      <c r="I20" s="229" t="s">
        <v>207</v>
      </c>
      <c r="J20" s="35">
        <v>253340</v>
      </c>
      <c r="K20" s="36" t="s">
        <v>16</v>
      </c>
      <c r="L20" s="36" t="s">
        <v>17</v>
      </c>
      <c r="M20" s="37">
        <v>12</v>
      </c>
      <c r="N20" s="36" t="s">
        <v>18</v>
      </c>
      <c r="O20" s="36" t="s">
        <v>17</v>
      </c>
      <c r="P20" s="37">
        <v>1</v>
      </c>
      <c r="Q20" s="120" t="s">
        <v>19</v>
      </c>
      <c r="R20" s="120"/>
      <c r="S20" s="120"/>
      <c r="T20" s="120"/>
      <c r="U20" s="15">
        <f>J20*M20*P20</f>
        <v>3040080</v>
      </c>
      <c r="V20" s="3" t="s">
        <v>63</v>
      </c>
    </row>
    <row r="21" spans="2:22" ht="24.95" customHeight="1">
      <c r="B21" s="98"/>
      <c r="C21" s="120"/>
      <c r="D21" s="120"/>
      <c r="E21" s="10"/>
      <c r="F21" s="10"/>
      <c r="G21" s="10"/>
      <c r="H21" s="209"/>
      <c r="I21" s="246" t="s">
        <v>253</v>
      </c>
      <c r="J21" s="35">
        <v>289730</v>
      </c>
      <c r="K21" s="36" t="s">
        <v>16</v>
      </c>
      <c r="L21" s="36" t="s">
        <v>17</v>
      </c>
      <c r="M21" s="37">
        <v>12</v>
      </c>
      <c r="N21" s="36" t="s">
        <v>18</v>
      </c>
      <c r="O21" s="36" t="s">
        <v>17</v>
      </c>
      <c r="P21" s="37">
        <v>1</v>
      </c>
      <c r="Q21" s="120" t="s">
        <v>19</v>
      </c>
      <c r="R21" s="120"/>
      <c r="S21" s="120"/>
      <c r="T21" s="120"/>
      <c r="U21" s="15">
        <f t="shared" ref="U21:U22" si="5">J21*M21*P21</f>
        <v>3476760</v>
      </c>
      <c r="V21" s="3" t="s">
        <v>252</v>
      </c>
    </row>
    <row r="22" spans="2:22" ht="24.95" customHeight="1">
      <c r="B22" s="98"/>
      <c r="C22" s="120"/>
      <c r="D22" s="120"/>
      <c r="E22" s="10"/>
      <c r="F22" s="10"/>
      <c r="G22" s="10"/>
      <c r="H22" s="209"/>
      <c r="I22" s="229" t="s">
        <v>222</v>
      </c>
      <c r="J22" s="35">
        <v>107810</v>
      </c>
      <c r="K22" s="36" t="s">
        <v>16</v>
      </c>
      <c r="L22" s="36" t="s">
        <v>17</v>
      </c>
      <c r="M22" s="37">
        <v>12</v>
      </c>
      <c r="N22" s="36" t="s">
        <v>18</v>
      </c>
      <c r="O22" s="36" t="s">
        <v>17</v>
      </c>
      <c r="P22" s="37">
        <v>1</v>
      </c>
      <c r="Q22" s="120" t="s">
        <v>19</v>
      </c>
      <c r="R22" s="120"/>
      <c r="S22" s="120"/>
      <c r="T22" s="120"/>
      <c r="U22" s="15">
        <f t="shared" si="5"/>
        <v>1293720</v>
      </c>
    </row>
    <row r="23" spans="2:22" ht="24.95" customHeight="1">
      <c r="B23" s="98"/>
      <c r="C23" s="120"/>
      <c r="D23" s="120"/>
      <c r="E23" s="10"/>
      <c r="F23" s="10"/>
      <c r="G23" s="10"/>
      <c r="H23" s="209"/>
      <c r="I23" s="14" t="s">
        <v>178</v>
      </c>
      <c r="J23" s="35"/>
      <c r="K23" s="36"/>
      <c r="L23" s="36"/>
      <c r="M23" s="37"/>
      <c r="N23" s="36"/>
      <c r="O23" s="36"/>
      <c r="P23" s="37"/>
      <c r="Q23" s="120"/>
      <c r="R23" s="120"/>
      <c r="S23" s="120"/>
      <c r="T23" s="120"/>
      <c r="U23" s="15">
        <f>SUM(U24:U25)</f>
        <v>4800000</v>
      </c>
    </row>
    <row r="24" spans="2:22" ht="24.95" customHeight="1">
      <c r="B24" s="98"/>
      <c r="C24" s="120"/>
      <c r="D24" s="120"/>
      <c r="E24" s="10"/>
      <c r="F24" s="10"/>
      <c r="G24" s="10"/>
      <c r="H24" s="209"/>
      <c r="I24" s="70" t="s">
        <v>221</v>
      </c>
      <c r="J24" s="35">
        <v>300000</v>
      </c>
      <c r="K24" s="49" t="s">
        <v>16</v>
      </c>
      <c r="L24" s="49" t="s">
        <v>17</v>
      </c>
      <c r="M24" s="37">
        <v>12</v>
      </c>
      <c r="N24" s="36" t="s">
        <v>18</v>
      </c>
      <c r="O24" s="49" t="s">
        <v>17</v>
      </c>
      <c r="P24" s="37">
        <v>1</v>
      </c>
      <c r="Q24" s="120" t="s">
        <v>19</v>
      </c>
      <c r="R24" s="120"/>
      <c r="S24" s="120"/>
      <c r="T24" s="120"/>
      <c r="U24" s="15">
        <f t="shared" si="4"/>
        <v>3600000</v>
      </c>
      <c r="V24" s="3" t="s">
        <v>62</v>
      </c>
    </row>
    <row r="25" spans="2:22" ht="24.95" customHeight="1">
      <c r="B25" s="98"/>
      <c r="C25" s="120"/>
      <c r="D25" s="120"/>
      <c r="E25" s="10"/>
      <c r="F25" s="10"/>
      <c r="G25" s="10"/>
      <c r="H25" s="209"/>
      <c r="I25" s="70" t="s">
        <v>253</v>
      </c>
      <c r="J25" s="35">
        <v>100000</v>
      </c>
      <c r="K25" s="49" t="s">
        <v>246</v>
      </c>
      <c r="L25" s="49" t="s">
        <v>247</v>
      </c>
      <c r="M25" s="37">
        <v>12</v>
      </c>
      <c r="N25" s="49" t="s">
        <v>248</v>
      </c>
      <c r="O25" s="36" t="s">
        <v>244</v>
      </c>
      <c r="P25" s="37">
        <v>1</v>
      </c>
      <c r="Q25" s="107" t="s">
        <v>249</v>
      </c>
      <c r="R25" s="120"/>
      <c r="S25" s="120"/>
      <c r="T25" s="120"/>
      <c r="U25" s="15">
        <f t="shared" si="4"/>
        <v>1200000</v>
      </c>
      <c r="V25" s="3" t="s">
        <v>256</v>
      </c>
    </row>
    <row r="26" spans="2:22" ht="24.95" customHeight="1">
      <c r="B26" s="98"/>
      <c r="C26" s="120"/>
      <c r="D26" s="120"/>
      <c r="E26" s="10"/>
      <c r="F26" s="10"/>
      <c r="G26" s="10"/>
      <c r="H26" s="209"/>
      <c r="I26" s="14" t="s">
        <v>140</v>
      </c>
      <c r="J26" s="35"/>
      <c r="K26" s="36"/>
      <c r="L26" s="36"/>
      <c r="M26" s="37"/>
      <c r="N26" s="36"/>
      <c r="O26" s="36"/>
      <c r="P26" s="37"/>
      <c r="Q26" s="120"/>
      <c r="R26" s="120"/>
      <c r="S26" s="120"/>
      <c r="T26" s="120"/>
      <c r="U26" s="15">
        <f>SUM(U27:U30)</f>
        <v>3196800</v>
      </c>
    </row>
    <row r="27" spans="2:22" ht="24.95" customHeight="1">
      <c r="B27" s="98"/>
      <c r="C27" s="120"/>
      <c r="D27" s="120"/>
      <c r="E27" s="10"/>
      <c r="F27" s="10"/>
      <c r="G27" s="10"/>
      <c r="H27" s="209"/>
      <c r="I27" s="228" t="s">
        <v>221</v>
      </c>
      <c r="J27" s="35">
        <v>3082000</v>
      </c>
      <c r="K27" s="36" t="s">
        <v>16</v>
      </c>
      <c r="L27" s="36" t="s">
        <v>17</v>
      </c>
      <c r="M27" s="37">
        <v>20</v>
      </c>
      <c r="N27" s="36" t="s">
        <v>7</v>
      </c>
      <c r="O27" s="36" t="s">
        <v>17</v>
      </c>
      <c r="P27" s="37">
        <v>2</v>
      </c>
      <c r="Q27" s="36" t="s">
        <v>20</v>
      </c>
      <c r="R27" s="120"/>
      <c r="S27" s="120"/>
      <c r="T27" s="120"/>
      <c r="U27" s="15">
        <f>J27*P27*M27%</f>
        <v>1232800</v>
      </c>
    </row>
    <row r="28" spans="2:22" ht="24.95" customHeight="1">
      <c r="B28" s="98"/>
      <c r="C28" s="120"/>
      <c r="D28" s="120"/>
      <c r="E28" s="10"/>
      <c r="F28" s="10"/>
      <c r="G28" s="10"/>
      <c r="H28" s="209"/>
      <c r="I28" s="229" t="s">
        <v>207</v>
      </c>
      <c r="J28" s="35">
        <v>1920000</v>
      </c>
      <c r="K28" s="36" t="s">
        <v>16</v>
      </c>
      <c r="L28" s="36" t="s">
        <v>17</v>
      </c>
      <c r="M28" s="37">
        <v>20</v>
      </c>
      <c r="N28" s="36" t="s">
        <v>7</v>
      </c>
      <c r="O28" s="36" t="s">
        <v>17</v>
      </c>
      <c r="P28" s="37">
        <v>2</v>
      </c>
      <c r="Q28" s="36" t="s">
        <v>20</v>
      </c>
      <c r="R28" s="120"/>
      <c r="S28" s="120"/>
      <c r="T28" s="120"/>
      <c r="U28" s="15">
        <f t="shared" ref="U28:U30" si="6">J28*P28*M28%</f>
        <v>768000</v>
      </c>
      <c r="V28" s="3" t="s">
        <v>257</v>
      </c>
    </row>
    <row r="29" spans="2:22" ht="24.95" customHeight="1">
      <c r="B29" s="98"/>
      <c r="C29" s="120"/>
      <c r="D29" s="120"/>
      <c r="E29" s="10"/>
      <c r="F29" s="10"/>
      <c r="G29" s="10"/>
      <c r="H29" s="209"/>
      <c r="I29" s="246" t="s">
        <v>255</v>
      </c>
      <c r="J29" s="35">
        <v>2150000</v>
      </c>
      <c r="K29" s="36" t="s">
        <v>16</v>
      </c>
      <c r="L29" s="36" t="s">
        <v>17</v>
      </c>
      <c r="M29" s="37">
        <v>20</v>
      </c>
      <c r="N29" s="36" t="s">
        <v>7</v>
      </c>
      <c r="O29" s="36" t="s">
        <v>17</v>
      </c>
      <c r="P29" s="37">
        <v>2</v>
      </c>
      <c r="Q29" s="36" t="s">
        <v>20</v>
      </c>
      <c r="R29" s="120"/>
      <c r="S29" s="120"/>
      <c r="T29" s="120"/>
      <c r="U29" s="15">
        <f t="shared" si="6"/>
        <v>860000</v>
      </c>
      <c r="V29" s="3" t="s">
        <v>256</v>
      </c>
    </row>
    <row r="30" spans="2:22" ht="24.95" customHeight="1">
      <c r="B30" s="98"/>
      <c r="C30" s="120"/>
      <c r="D30" s="120"/>
      <c r="E30" s="10"/>
      <c r="F30" s="10"/>
      <c r="G30" s="10"/>
      <c r="H30" s="209"/>
      <c r="I30" s="229" t="s">
        <v>222</v>
      </c>
      <c r="J30" s="35">
        <v>840000</v>
      </c>
      <c r="K30" s="36" t="s">
        <v>16</v>
      </c>
      <c r="L30" s="36" t="s">
        <v>17</v>
      </c>
      <c r="M30" s="37">
        <v>20</v>
      </c>
      <c r="N30" s="36" t="s">
        <v>7</v>
      </c>
      <c r="O30" s="36" t="s">
        <v>17</v>
      </c>
      <c r="P30" s="37">
        <v>2</v>
      </c>
      <c r="Q30" s="36" t="s">
        <v>20</v>
      </c>
      <c r="R30" s="120"/>
      <c r="S30" s="120"/>
      <c r="T30" s="120"/>
      <c r="U30" s="15">
        <f t="shared" si="6"/>
        <v>336000</v>
      </c>
    </row>
    <row r="31" spans="2:22" ht="24.95" customHeight="1">
      <c r="B31" s="98"/>
      <c r="C31" s="120"/>
      <c r="D31" s="120" t="s">
        <v>37</v>
      </c>
      <c r="E31" s="10">
        <v>7791470</v>
      </c>
      <c r="F31" s="10">
        <f>U31</f>
        <v>8258400</v>
      </c>
      <c r="G31" s="10">
        <f>F31-E31</f>
        <v>466930</v>
      </c>
      <c r="H31" s="209">
        <f>F31/E31*100-100</f>
        <v>5.9928357549987368</v>
      </c>
      <c r="I31" s="14" t="s">
        <v>37</v>
      </c>
      <c r="J31" s="35"/>
      <c r="K31" s="36"/>
      <c r="L31" s="36"/>
      <c r="M31" s="37"/>
      <c r="N31" s="36"/>
      <c r="O31" s="36"/>
      <c r="P31" s="37"/>
      <c r="Q31" s="120"/>
      <c r="R31" s="120"/>
      <c r="S31" s="120"/>
      <c r="T31" s="120"/>
      <c r="U31" s="15">
        <f>U32</f>
        <v>8258400</v>
      </c>
    </row>
    <row r="32" spans="2:22" ht="24.95" customHeight="1">
      <c r="B32" s="98"/>
      <c r="C32" s="120"/>
      <c r="D32" s="120"/>
      <c r="E32" s="10"/>
      <c r="F32" s="10"/>
      <c r="G32" s="10">
        <f t="shared" si="0"/>
        <v>0</v>
      </c>
      <c r="H32" s="209"/>
      <c r="I32" s="1" t="s">
        <v>141</v>
      </c>
      <c r="J32" s="35">
        <f>U13+U8</f>
        <v>99100800</v>
      </c>
      <c r="K32" s="36" t="s">
        <v>16</v>
      </c>
      <c r="L32" s="49" t="s">
        <v>65</v>
      </c>
      <c r="M32" s="37">
        <v>12</v>
      </c>
      <c r="N32" s="36" t="s">
        <v>18</v>
      </c>
      <c r="O32" s="36"/>
      <c r="P32" s="37"/>
      <c r="Q32" s="120"/>
      <c r="R32" s="120"/>
      <c r="S32" s="120"/>
      <c r="T32" s="120"/>
      <c r="U32" s="15">
        <f>ROUNDDOWN(J32/M32,-1)</f>
        <v>8258400</v>
      </c>
    </row>
    <row r="33" spans="2:21" ht="24.95" customHeight="1">
      <c r="B33" s="98"/>
      <c r="C33" s="120"/>
      <c r="D33" s="120" t="s">
        <v>35</v>
      </c>
      <c r="E33" s="10">
        <v>8156560</v>
      </c>
      <c r="F33" s="10">
        <f>U33</f>
        <v>9151360</v>
      </c>
      <c r="G33" s="10">
        <f>F33-E33</f>
        <v>994800</v>
      </c>
      <c r="H33" s="209">
        <f>F33/E33*100-100</f>
        <v>12.196318055650906</v>
      </c>
      <c r="I33" s="14" t="s">
        <v>38</v>
      </c>
      <c r="J33" s="35"/>
      <c r="K33" s="36"/>
      <c r="L33" s="36"/>
      <c r="M33" s="37"/>
      <c r="N33" s="36"/>
      <c r="O33" s="36"/>
      <c r="P33" s="37"/>
      <c r="Q33" s="120"/>
      <c r="R33" s="120"/>
      <c r="S33" s="120"/>
      <c r="T33" s="120"/>
      <c r="U33" s="15">
        <f>SUM(U34:U38)</f>
        <v>9151360</v>
      </c>
    </row>
    <row r="34" spans="2:21" ht="24.95" customHeight="1">
      <c r="B34" s="98"/>
      <c r="C34" s="103"/>
      <c r="D34" s="103"/>
      <c r="E34" s="10"/>
      <c r="F34" s="10"/>
      <c r="G34" s="10">
        <f t="shared" si="0"/>
        <v>0</v>
      </c>
      <c r="H34" s="209"/>
      <c r="I34" s="1" t="s">
        <v>142</v>
      </c>
      <c r="J34" s="35">
        <f>J32</f>
        <v>99100800</v>
      </c>
      <c r="K34" s="36" t="s">
        <v>16</v>
      </c>
      <c r="L34" s="36" t="s">
        <v>17</v>
      </c>
      <c r="M34" s="50">
        <v>4.5</v>
      </c>
      <c r="N34" s="36" t="s">
        <v>7</v>
      </c>
      <c r="O34" s="36"/>
      <c r="P34" s="37"/>
      <c r="Q34" s="103"/>
      <c r="R34" s="103"/>
      <c r="S34" s="103"/>
      <c r="T34" s="103"/>
      <c r="U34" s="51">
        <f>ROUNDDOWN((J34*M34/100),-1)</f>
        <v>4459530</v>
      </c>
    </row>
    <row r="35" spans="2:21" ht="24.95" customHeight="1">
      <c r="B35" s="98"/>
      <c r="C35" s="103"/>
      <c r="D35" s="103"/>
      <c r="E35" s="10"/>
      <c r="F35" s="10"/>
      <c r="G35" s="10">
        <f t="shared" si="0"/>
        <v>0</v>
      </c>
      <c r="H35" s="209"/>
      <c r="I35" s="1" t="s">
        <v>143</v>
      </c>
      <c r="J35" s="35">
        <f>J32</f>
        <v>99100800</v>
      </c>
      <c r="K35" s="36" t="s">
        <v>16</v>
      </c>
      <c r="L35" s="36" t="s">
        <v>17</v>
      </c>
      <c r="M35" s="52">
        <v>3.06</v>
      </c>
      <c r="N35" s="36" t="s">
        <v>7</v>
      </c>
      <c r="O35" s="36"/>
      <c r="P35" s="37"/>
      <c r="Q35" s="103"/>
      <c r="R35" s="103"/>
      <c r="S35" s="103"/>
      <c r="T35" s="103"/>
      <c r="U35" s="15">
        <f>ROUNDDOWN((J35*M35/100),-1)</f>
        <v>3032480</v>
      </c>
    </row>
    <row r="36" spans="2:21" ht="24.95" customHeight="1">
      <c r="B36" s="98"/>
      <c r="C36" s="103"/>
      <c r="D36" s="103"/>
      <c r="E36" s="10"/>
      <c r="F36" s="10"/>
      <c r="G36" s="10">
        <f t="shared" si="0"/>
        <v>0</v>
      </c>
      <c r="H36" s="209"/>
      <c r="I36" s="1" t="s">
        <v>144</v>
      </c>
      <c r="J36" s="35">
        <f>U35</f>
        <v>3032480</v>
      </c>
      <c r="K36" s="36" t="s">
        <v>16</v>
      </c>
      <c r="L36" s="36" t="s">
        <v>17</v>
      </c>
      <c r="M36" s="52">
        <v>6.55</v>
      </c>
      <c r="N36" s="36" t="s">
        <v>7</v>
      </c>
      <c r="O36" s="36"/>
      <c r="P36" s="37"/>
      <c r="Q36" s="103"/>
      <c r="R36" s="103"/>
      <c r="S36" s="103"/>
      <c r="T36" s="103"/>
      <c r="U36" s="15">
        <f>ROUNDDOWN((J36*M36/100),-1)</f>
        <v>198620</v>
      </c>
    </row>
    <row r="37" spans="2:21" ht="24.95" customHeight="1">
      <c r="B37" s="98"/>
      <c r="C37" s="103"/>
      <c r="D37" s="103"/>
      <c r="E37" s="10"/>
      <c r="F37" s="10"/>
      <c r="G37" s="10">
        <f t="shared" si="0"/>
        <v>0</v>
      </c>
      <c r="H37" s="209"/>
      <c r="I37" s="1" t="s">
        <v>146</v>
      </c>
      <c r="J37" s="35">
        <f>J32</f>
        <v>99100800</v>
      </c>
      <c r="K37" s="36" t="s">
        <v>16</v>
      </c>
      <c r="L37" s="36" t="s">
        <v>17</v>
      </c>
      <c r="M37" s="52">
        <v>0.9</v>
      </c>
      <c r="N37" s="36" t="s">
        <v>7</v>
      </c>
      <c r="O37" s="36"/>
      <c r="P37" s="37"/>
      <c r="Q37" s="103"/>
      <c r="R37" s="103"/>
      <c r="S37" s="103"/>
      <c r="T37" s="103"/>
      <c r="U37" s="15">
        <f>ROUNDDOWN((J37*M37/100),-1)</f>
        <v>891900</v>
      </c>
    </row>
    <row r="38" spans="2:21" ht="24.95" customHeight="1">
      <c r="B38" s="98"/>
      <c r="C38" s="103"/>
      <c r="D38" s="103"/>
      <c r="E38" s="10"/>
      <c r="F38" s="10"/>
      <c r="G38" s="10">
        <f t="shared" si="0"/>
        <v>0</v>
      </c>
      <c r="H38" s="209"/>
      <c r="I38" s="1" t="s">
        <v>145</v>
      </c>
      <c r="J38" s="35">
        <f>J32</f>
        <v>99100800</v>
      </c>
      <c r="K38" s="36" t="s">
        <v>16</v>
      </c>
      <c r="L38" s="36" t="s">
        <v>17</v>
      </c>
      <c r="M38" s="52">
        <v>0.57399999999999995</v>
      </c>
      <c r="N38" s="36" t="s">
        <v>7</v>
      </c>
      <c r="O38" s="36"/>
      <c r="P38" s="37"/>
      <c r="Q38" s="103"/>
      <c r="R38" s="103"/>
      <c r="S38" s="103"/>
      <c r="T38" s="103"/>
      <c r="U38" s="15">
        <f>ROUNDDOWN((J38*M38/100),-1)</f>
        <v>568830</v>
      </c>
    </row>
    <row r="39" spans="2:21" ht="24.95" customHeight="1">
      <c r="B39" s="98"/>
      <c r="C39" s="103"/>
      <c r="D39" s="103" t="s">
        <v>22</v>
      </c>
      <c r="E39" s="10">
        <v>900000</v>
      </c>
      <c r="F39" s="10">
        <f>U39</f>
        <v>1380000</v>
      </c>
      <c r="G39" s="10">
        <f>F39-E39</f>
        <v>480000</v>
      </c>
      <c r="H39" s="209">
        <f>F39/E39*100-100</f>
        <v>53.333333333333343</v>
      </c>
      <c r="I39" s="14" t="s">
        <v>22</v>
      </c>
      <c r="J39" s="42">
        <v>345000</v>
      </c>
      <c r="K39" s="49" t="s">
        <v>16</v>
      </c>
      <c r="L39" s="49" t="s">
        <v>17</v>
      </c>
      <c r="M39" s="37">
        <v>4</v>
      </c>
      <c r="N39" s="49" t="s">
        <v>224</v>
      </c>
      <c r="O39" s="36" t="s">
        <v>1</v>
      </c>
      <c r="P39" s="37" t="s">
        <v>1</v>
      </c>
      <c r="Q39" s="103" t="s">
        <v>1</v>
      </c>
      <c r="R39" s="103"/>
      <c r="S39" s="103"/>
      <c r="T39" s="103"/>
      <c r="U39" s="15">
        <f>J39*M39</f>
        <v>1380000</v>
      </c>
    </row>
    <row r="40" spans="2:21" ht="24.95" customHeight="1">
      <c r="B40" s="98" t="s">
        <v>1</v>
      </c>
      <c r="C40" s="103" t="s">
        <v>23</v>
      </c>
      <c r="D40" s="104" t="s">
        <v>9</v>
      </c>
      <c r="E40" s="10">
        <f>SUM(E42,E41)</f>
        <v>440000</v>
      </c>
      <c r="F40" s="10">
        <f>SUM(F42,F41)</f>
        <v>800000</v>
      </c>
      <c r="G40" s="10">
        <f>F40-E40</f>
        <v>360000</v>
      </c>
      <c r="H40" s="209">
        <f t="shared" ref="H40:H58" si="7">F40/E40*100-100</f>
        <v>81.818181818181813</v>
      </c>
      <c r="I40" s="14"/>
      <c r="J40" s="35" t="s">
        <v>1</v>
      </c>
      <c r="K40" s="36" t="s">
        <v>1</v>
      </c>
      <c r="L40" s="36" t="s">
        <v>1</v>
      </c>
      <c r="M40" s="37" t="s">
        <v>1</v>
      </c>
      <c r="N40" s="36" t="s">
        <v>1</v>
      </c>
      <c r="O40" s="36" t="s">
        <v>1</v>
      </c>
      <c r="P40" s="37" t="s">
        <v>1</v>
      </c>
      <c r="Q40" s="103" t="s">
        <v>1</v>
      </c>
      <c r="R40" s="103"/>
      <c r="S40" s="103"/>
      <c r="T40" s="103"/>
      <c r="U40" s="15">
        <f>U41+U42</f>
        <v>800000</v>
      </c>
    </row>
    <row r="41" spans="2:21" ht="24.95" customHeight="1">
      <c r="B41" s="98"/>
      <c r="C41" s="103"/>
      <c r="D41" s="103" t="s">
        <v>24</v>
      </c>
      <c r="E41" s="10">
        <v>340000</v>
      </c>
      <c r="F41" s="10">
        <f>U41</f>
        <v>400000</v>
      </c>
      <c r="G41" s="10">
        <f t="shared" ref="G41:G69" si="8">F41-E41</f>
        <v>60000</v>
      </c>
      <c r="H41" s="209">
        <f t="shared" si="7"/>
        <v>17.64705882352942</v>
      </c>
      <c r="I41" s="1" t="s">
        <v>147</v>
      </c>
      <c r="J41" s="35">
        <v>100000</v>
      </c>
      <c r="K41" s="36" t="s">
        <v>16</v>
      </c>
      <c r="L41" s="36" t="s">
        <v>17</v>
      </c>
      <c r="M41" s="37">
        <v>4</v>
      </c>
      <c r="N41" s="49" t="s">
        <v>224</v>
      </c>
      <c r="O41" s="36" t="s">
        <v>1</v>
      </c>
      <c r="P41" s="37" t="s">
        <v>1</v>
      </c>
      <c r="Q41" s="103" t="s">
        <v>1</v>
      </c>
      <c r="R41" s="103"/>
      <c r="S41" s="103"/>
      <c r="T41" s="103"/>
      <c r="U41" s="15">
        <f>+J41*M41</f>
        <v>400000</v>
      </c>
    </row>
    <row r="42" spans="2:21" ht="24.95" customHeight="1">
      <c r="B42" s="98"/>
      <c r="C42" s="103"/>
      <c r="D42" s="103" t="s">
        <v>25</v>
      </c>
      <c r="E42" s="10">
        <v>100000</v>
      </c>
      <c r="F42" s="10">
        <f>U42</f>
        <v>400000</v>
      </c>
      <c r="G42" s="10">
        <f t="shared" si="8"/>
        <v>300000</v>
      </c>
      <c r="H42" s="209">
        <f t="shared" si="7"/>
        <v>300</v>
      </c>
      <c r="I42" s="1" t="s">
        <v>148</v>
      </c>
      <c r="J42" s="35">
        <v>100000</v>
      </c>
      <c r="K42" s="36" t="s">
        <v>16</v>
      </c>
      <c r="L42" s="36" t="s">
        <v>17</v>
      </c>
      <c r="M42" s="37">
        <v>4</v>
      </c>
      <c r="N42" s="49" t="s">
        <v>224</v>
      </c>
      <c r="O42" s="36"/>
      <c r="P42" s="37"/>
      <c r="Q42" s="103"/>
      <c r="R42" s="103"/>
      <c r="S42" s="103"/>
      <c r="T42" s="103"/>
      <c r="U42" s="15">
        <f>+J42*M42</f>
        <v>400000</v>
      </c>
    </row>
    <row r="43" spans="2:21" ht="24.95" customHeight="1">
      <c r="B43" s="98" t="s">
        <v>1</v>
      </c>
      <c r="C43" s="103" t="s">
        <v>26</v>
      </c>
      <c r="D43" s="104" t="s">
        <v>46</v>
      </c>
      <c r="E43" s="10">
        <f>E44+E45+E46+E51+E55</f>
        <v>18690000</v>
      </c>
      <c r="F43" s="10">
        <f>F44+F45+F46+F51+F55</f>
        <v>18940000</v>
      </c>
      <c r="G43" s="10">
        <f t="shared" si="8"/>
        <v>250000</v>
      </c>
      <c r="H43" s="209">
        <f t="shared" si="7"/>
        <v>1.337613697164258</v>
      </c>
      <c r="I43" s="1"/>
      <c r="J43" s="35" t="s">
        <v>1</v>
      </c>
      <c r="K43" s="36" t="s">
        <v>1</v>
      </c>
      <c r="L43" s="36" t="s">
        <v>1</v>
      </c>
      <c r="M43" s="37" t="s">
        <v>1</v>
      </c>
      <c r="N43" s="36" t="s">
        <v>1</v>
      </c>
      <c r="O43" s="36" t="s">
        <v>1</v>
      </c>
      <c r="P43" s="37" t="s">
        <v>1</v>
      </c>
      <c r="Q43" s="103" t="s">
        <v>1</v>
      </c>
      <c r="R43" s="103"/>
      <c r="S43" s="103"/>
      <c r="T43" s="103"/>
      <c r="U43" s="15">
        <f>SUM(U44,U45,U46,U51,U55)</f>
        <v>18940000</v>
      </c>
    </row>
    <row r="44" spans="2:21" ht="24.95" customHeight="1">
      <c r="B44" s="98"/>
      <c r="C44" s="103"/>
      <c r="D44" s="103" t="s">
        <v>27</v>
      </c>
      <c r="E44" s="10">
        <v>400000</v>
      </c>
      <c r="F44" s="10">
        <f>U44</f>
        <v>900000</v>
      </c>
      <c r="G44" s="10">
        <f t="shared" si="8"/>
        <v>500000</v>
      </c>
      <c r="H44" s="209">
        <f t="shared" si="7"/>
        <v>125</v>
      </c>
      <c r="I44" s="14" t="s">
        <v>39</v>
      </c>
      <c r="J44" s="35">
        <v>150000</v>
      </c>
      <c r="K44" s="36" t="s">
        <v>16</v>
      </c>
      <c r="L44" s="36" t="s">
        <v>17</v>
      </c>
      <c r="M44" s="37">
        <v>6</v>
      </c>
      <c r="N44" s="36" t="s">
        <v>20</v>
      </c>
      <c r="O44" s="36" t="s">
        <v>1</v>
      </c>
      <c r="P44" s="37" t="s">
        <v>1</v>
      </c>
      <c r="Q44" s="103" t="s">
        <v>1</v>
      </c>
      <c r="R44" s="103"/>
      <c r="S44" s="103"/>
      <c r="T44" s="103"/>
      <c r="U44" s="15">
        <f>+J44*M44</f>
        <v>900000</v>
      </c>
    </row>
    <row r="45" spans="2:21" ht="24.95" customHeight="1">
      <c r="B45" s="98"/>
      <c r="C45" s="120"/>
      <c r="D45" s="120" t="s">
        <v>28</v>
      </c>
      <c r="E45" s="10">
        <v>7350000</v>
      </c>
      <c r="F45" s="10">
        <f>U45</f>
        <v>6000000</v>
      </c>
      <c r="G45" s="10">
        <f>F45-E45</f>
        <v>-1350000</v>
      </c>
      <c r="H45" s="209">
        <f t="shared" si="7"/>
        <v>-18.367346938775512</v>
      </c>
      <c r="I45" s="14" t="s">
        <v>40</v>
      </c>
      <c r="J45" s="42">
        <v>500000</v>
      </c>
      <c r="K45" s="36" t="s">
        <v>16</v>
      </c>
      <c r="L45" s="36" t="s">
        <v>17</v>
      </c>
      <c r="M45" s="37">
        <v>12</v>
      </c>
      <c r="N45" s="49" t="s">
        <v>18</v>
      </c>
      <c r="O45" s="36" t="s">
        <v>1</v>
      </c>
      <c r="P45" s="37" t="s">
        <v>1</v>
      </c>
      <c r="Q45" s="120" t="s">
        <v>1</v>
      </c>
      <c r="R45" s="120"/>
      <c r="S45" s="120"/>
      <c r="T45" s="120"/>
      <c r="U45" s="15">
        <f t="shared" ref="U45" si="9">+J45*M45</f>
        <v>6000000</v>
      </c>
    </row>
    <row r="46" spans="2:21" ht="24.95" customHeight="1">
      <c r="B46" s="98"/>
      <c r="C46" s="103"/>
      <c r="D46" s="103" t="s">
        <v>36</v>
      </c>
      <c r="E46" s="10">
        <v>4660000</v>
      </c>
      <c r="F46" s="10">
        <f>U46</f>
        <v>5640000</v>
      </c>
      <c r="G46" s="10">
        <f t="shared" si="8"/>
        <v>980000</v>
      </c>
      <c r="H46" s="209">
        <f t="shared" si="7"/>
        <v>21.030042918454939</v>
      </c>
      <c r="I46" s="14" t="s">
        <v>36</v>
      </c>
      <c r="J46" s="42"/>
      <c r="K46" s="36"/>
      <c r="L46" s="36"/>
      <c r="M46" s="37"/>
      <c r="N46" s="49"/>
      <c r="O46" s="36"/>
      <c r="P46" s="37"/>
      <c r="Q46" s="103"/>
      <c r="R46" s="103"/>
      <c r="S46" s="103"/>
      <c r="T46" s="103"/>
      <c r="U46" s="15">
        <f>SUM(U47:U50)</f>
        <v>5640000</v>
      </c>
    </row>
    <row r="47" spans="2:21" ht="24.95" customHeight="1">
      <c r="B47" s="98"/>
      <c r="C47" s="103"/>
      <c r="D47" s="103"/>
      <c r="E47" s="10"/>
      <c r="F47" s="10"/>
      <c r="G47" s="10"/>
      <c r="H47" s="209"/>
      <c r="I47" s="1" t="s">
        <v>167</v>
      </c>
      <c r="J47" s="42">
        <v>60000</v>
      </c>
      <c r="K47" s="49" t="s">
        <v>171</v>
      </c>
      <c r="L47" s="36" t="s">
        <v>17</v>
      </c>
      <c r="M47" s="37">
        <v>1</v>
      </c>
      <c r="N47" s="49" t="s">
        <v>20</v>
      </c>
      <c r="O47" s="36" t="s">
        <v>1</v>
      </c>
      <c r="P47" s="37"/>
      <c r="Q47" s="103"/>
      <c r="R47" s="103"/>
      <c r="S47" s="103"/>
      <c r="T47" s="103"/>
      <c r="U47" s="15">
        <f>J47*M47</f>
        <v>60000</v>
      </c>
    </row>
    <row r="48" spans="2:21" ht="24.95" customHeight="1">
      <c r="B48" s="98"/>
      <c r="C48" s="103"/>
      <c r="D48" s="103"/>
      <c r="E48" s="10"/>
      <c r="F48" s="10"/>
      <c r="G48" s="10"/>
      <c r="H48" s="209"/>
      <c r="I48" s="1" t="s">
        <v>168</v>
      </c>
      <c r="J48" s="42">
        <v>120000</v>
      </c>
      <c r="K48" s="49" t="s">
        <v>171</v>
      </c>
      <c r="L48" s="36" t="s">
        <v>17</v>
      </c>
      <c r="M48" s="37">
        <v>12</v>
      </c>
      <c r="N48" s="49" t="s">
        <v>172</v>
      </c>
      <c r="O48" s="36"/>
      <c r="P48" s="37"/>
      <c r="Q48" s="103"/>
      <c r="R48" s="103"/>
      <c r="S48" s="103"/>
      <c r="T48" s="103"/>
      <c r="U48" s="15">
        <f>J48*M48</f>
        <v>1440000</v>
      </c>
    </row>
    <row r="49" spans="2:21" ht="24.95" customHeight="1">
      <c r="B49" s="98"/>
      <c r="C49" s="103"/>
      <c r="D49" s="103"/>
      <c r="E49" s="10"/>
      <c r="F49" s="10"/>
      <c r="G49" s="10"/>
      <c r="H49" s="209"/>
      <c r="I49" s="1" t="s">
        <v>169</v>
      </c>
      <c r="J49" s="42">
        <v>300000</v>
      </c>
      <c r="K49" s="49" t="s">
        <v>171</v>
      </c>
      <c r="L49" s="36" t="s">
        <v>17</v>
      </c>
      <c r="M49" s="37">
        <v>12</v>
      </c>
      <c r="N49" s="49" t="s">
        <v>172</v>
      </c>
      <c r="O49" s="36"/>
      <c r="P49" s="37"/>
      <c r="Q49" s="103"/>
      <c r="R49" s="103"/>
      <c r="S49" s="103"/>
      <c r="T49" s="103"/>
      <c r="U49" s="15">
        <f t="shared" ref="U49:U50" si="10">J49*M49</f>
        <v>3600000</v>
      </c>
    </row>
    <row r="50" spans="2:21" ht="24.95" customHeight="1">
      <c r="B50" s="98"/>
      <c r="C50" s="103"/>
      <c r="D50" s="103"/>
      <c r="E50" s="10"/>
      <c r="F50" s="10"/>
      <c r="G50" s="10"/>
      <c r="H50" s="209"/>
      <c r="I50" s="1" t="s">
        <v>170</v>
      </c>
      <c r="J50" s="42">
        <v>90000</v>
      </c>
      <c r="K50" s="49" t="s">
        <v>171</v>
      </c>
      <c r="L50" s="36" t="s">
        <v>17</v>
      </c>
      <c r="M50" s="37">
        <v>6</v>
      </c>
      <c r="N50" s="49" t="s">
        <v>172</v>
      </c>
      <c r="O50" s="36"/>
      <c r="P50" s="37"/>
      <c r="Q50" s="103"/>
      <c r="R50" s="103"/>
      <c r="S50" s="103"/>
      <c r="T50" s="103"/>
      <c r="U50" s="15">
        <f t="shared" si="10"/>
        <v>540000</v>
      </c>
    </row>
    <row r="51" spans="2:21" ht="24.95" customHeight="1">
      <c r="B51" s="98"/>
      <c r="C51" s="103"/>
      <c r="D51" s="103" t="s">
        <v>30</v>
      </c>
      <c r="E51" s="10">
        <v>4200000</v>
      </c>
      <c r="F51" s="10">
        <f>U51</f>
        <v>3800000</v>
      </c>
      <c r="G51" s="10">
        <f t="shared" si="8"/>
        <v>-400000</v>
      </c>
      <c r="H51" s="209">
        <f t="shared" si="7"/>
        <v>-9.5238095238095184</v>
      </c>
      <c r="I51" s="14" t="s">
        <v>30</v>
      </c>
      <c r="J51" s="42"/>
      <c r="K51" s="36"/>
      <c r="L51" s="36"/>
      <c r="M51" s="37"/>
      <c r="N51" s="49"/>
      <c r="O51" s="36"/>
      <c r="P51" s="37"/>
      <c r="Q51" s="103" t="s">
        <v>1</v>
      </c>
      <c r="R51" s="103"/>
      <c r="S51" s="103"/>
      <c r="T51" s="103"/>
      <c r="U51" s="15">
        <f>SUM(U52:U54)</f>
        <v>3800000</v>
      </c>
    </row>
    <row r="52" spans="2:21" ht="24.95" customHeight="1">
      <c r="B52" s="98"/>
      <c r="C52" s="103"/>
      <c r="D52" s="103"/>
      <c r="E52" s="10"/>
      <c r="F52" s="10"/>
      <c r="G52" s="10"/>
      <c r="H52" s="209"/>
      <c r="I52" s="1" t="s">
        <v>173</v>
      </c>
      <c r="J52" s="42">
        <v>500000</v>
      </c>
      <c r="K52" s="49" t="s">
        <v>171</v>
      </c>
      <c r="L52" s="36" t="s">
        <v>17</v>
      </c>
      <c r="M52" s="37">
        <v>4</v>
      </c>
      <c r="N52" s="49" t="s">
        <v>175</v>
      </c>
      <c r="O52" s="36"/>
      <c r="P52" s="37"/>
      <c r="Q52" s="103"/>
      <c r="R52" s="103"/>
      <c r="S52" s="103"/>
      <c r="T52" s="103"/>
      <c r="U52" s="15">
        <f>M52*J52</f>
        <v>2000000</v>
      </c>
    </row>
    <row r="53" spans="2:21" ht="24.95" customHeight="1">
      <c r="B53" s="98"/>
      <c r="C53" s="103"/>
      <c r="D53" s="103"/>
      <c r="E53" s="10"/>
      <c r="F53" s="10"/>
      <c r="G53" s="10"/>
      <c r="H53" s="209"/>
      <c r="I53" s="1" t="s">
        <v>174</v>
      </c>
      <c r="J53" s="42">
        <v>1000000</v>
      </c>
      <c r="K53" s="49" t="s">
        <v>171</v>
      </c>
      <c r="L53" s="36" t="s">
        <v>17</v>
      </c>
      <c r="M53" s="37">
        <v>1</v>
      </c>
      <c r="N53" s="49" t="s">
        <v>175</v>
      </c>
      <c r="O53" s="36"/>
      <c r="P53" s="37"/>
      <c r="Q53" s="103"/>
      <c r="R53" s="103"/>
      <c r="S53" s="103"/>
      <c r="T53" s="103"/>
      <c r="U53" s="15">
        <f>M53*J53</f>
        <v>1000000</v>
      </c>
    </row>
    <row r="54" spans="2:21" ht="24.95" customHeight="1">
      <c r="B54" s="98"/>
      <c r="C54" s="120"/>
      <c r="D54" s="120"/>
      <c r="E54" s="10"/>
      <c r="F54" s="10"/>
      <c r="G54" s="10"/>
      <c r="H54" s="209"/>
      <c r="I54" s="1" t="s">
        <v>225</v>
      </c>
      <c r="J54" s="42">
        <v>200000</v>
      </c>
      <c r="K54" s="49" t="s">
        <v>227</v>
      </c>
      <c r="L54" s="36" t="s">
        <v>17</v>
      </c>
      <c r="M54" s="37">
        <v>4</v>
      </c>
      <c r="N54" s="49" t="s">
        <v>226</v>
      </c>
      <c r="O54" s="36"/>
      <c r="P54" s="37"/>
      <c r="Q54" s="120"/>
      <c r="R54" s="120"/>
      <c r="S54" s="120"/>
      <c r="T54" s="120"/>
      <c r="U54" s="15">
        <f>J54*M54</f>
        <v>800000</v>
      </c>
    </row>
    <row r="55" spans="2:21" ht="24.95" customHeight="1">
      <c r="B55" s="98"/>
      <c r="C55" s="103"/>
      <c r="D55" s="103" t="s">
        <v>29</v>
      </c>
      <c r="E55" s="10">
        <v>2080000</v>
      </c>
      <c r="F55" s="10">
        <f>U55</f>
        <v>2600000</v>
      </c>
      <c r="G55" s="10">
        <f t="shared" si="8"/>
        <v>520000</v>
      </c>
      <c r="H55" s="209">
        <f t="shared" si="7"/>
        <v>25</v>
      </c>
      <c r="I55" s="14" t="s">
        <v>29</v>
      </c>
      <c r="J55" s="35"/>
      <c r="K55" s="36"/>
      <c r="L55" s="36"/>
      <c r="M55" s="37"/>
      <c r="N55" s="49"/>
      <c r="O55" s="36" t="s">
        <v>1</v>
      </c>
      <c r="P55" s="37" t="s">
        <v>1</v>
      </c>
      <c r="Q55" s="103" t="s">
        <v>1</v>
      </c>
      <c r="R55" s="103"/>
      <c r="S55" s="103"/>
      <c r="T55" s="103"/>
      <c r="U55" s="15">
        <f xml:space="preserve"> SUM(U56:U57)</f>
        <v>2600000</v>
      </c>
    </row>
    <row r="56" spans="2:21" ht="24.95" customHeight="1">
      <c r="B56" s="96"/>
      <c r="C56" s="94"/>
      <c r="D56" s="95"/>
      <c r="E56" s="10"/>
      <c r="F56" s="10"/>
      <c r="G56" s="10"/>
      <c r="H56" s="209"/>
      <c r="I56" s="1" t="s">
        <v>176</v>
      </c>
      <c r="J56" s="35">
        <v>150000</v>
      </c>
      <c r="K56" s="49" t="s">
        <v>171</v>
      </c>
      <c r="L56" s="36" t="s">
        <v>17</v>
      </c>
      <c r="M56" s="37">
        <v>12</v>
      </c>
      <c r="N56" s="49" t="s">
        <v>172</v>
      </c>
      <c r="O56" s="36"/>
      <c r="P56" s="37"/>
      <c r="Q56" s="93"/>
      <c r="R56" s="93"/>
      <c r="S56" s="93"/>
      <c r="T56" s="93"/>
      <c r="U56" s="15">
        <f>J56*M56</f>
        <v>1800000</v>
      </c>
    </row>
    <row r="57" spans="2:21" ht="24.95" customHeight="1">
      <c r="B57" s="96"/>
      <c r="C57" s="94"/>
      <c r="D57" s="95"/>
      <c r="E57" s="10"/>
      <c r="F57" s="10"/>
      <c r="G57" s="10"/>
      <c r="H57" s="209"/>
      <c r="I57" s="1" t="s">
        <v>228</v>
      </c>
      <c r="J57" s="35">
        <v>200000</v>
      </c>
      <c r="K57" s="49" t="s">
        <v>171</v>
      </c>
      <c r="L57" s="36" t="s">
        <v>17</v>
      </c>
      <c r="M57" s="37">
        <v>4</v>
      </c>
      <c r="N57" s="49" t="s">
        <v>20</v>
      </c>
      <c r="O57" s="36" t="s">
        <v>1</v>
      </c>
      <c r="P57" s="37"/>
      <c r="Q57" s="93"/>
      <c r="R57" s="93"/>
      <c r="S57" s="93"/>
      <c r="T57" s="93"/>
      <c r="U57" s="15">
        <f>M57*J57</f>
        <v>800000</v>
      </c>
    </row>
    <row r="58" spans="2:21" ht="24.95" customHeight="1">
      <c r="B58" s="65" t="s">
        <v>66</v>
      </c>
      <c r="C58" s="356" t="s">
        <v>99</v>
      </c>
      <c r="D58" s="358"/>
      <c r="E58" s="10">
        <f>SUM(E59)</f>
        <v>700000</v>
      </c>
      <c r="F58" s="10">
        <f>SUM(F59)</f>
        <v>700000</v>
      </c>
      <c r="G58" s="10">
        <f t="shared" si="8"/>
        <v>0</v>
      </c>
      <c r="H58" s="209">
        <f t="shared" si="7"/>
        <v>0</v>
      </c>
      <c r="I58" s="71"/>
      <c r="J58" s="35"/>
      <c r="K58" s="36"/>
      <c r="L58" s="36"/>
      <c r="M58" s="37"/>
      <c r="N58" s="36"/>
      <c r="O58" s="36"/>
      <c r="P58" s="37"/>
      <c r="Q58" s="36"/>
      <c r="R58" s="93"/>
      <c r="S58" s="93"/>
      <c r="T58" s="93"/>
      <c r="U58" s="15">
        <f>SUM(U59)</f>
        <v>700000</v>
      </c>
    </row>
    <row r="59" spans="2:21" ht="24.95" customHeight="1">
      <c r="B59" s="65"/>
      <c r="C59" s="64" t="s">
        <v>67</v>
      </c>
      <c r="D59" s="64" t="s">
        <v>69</v>
      </c>
      <c r="E59" s="10">
        <f>SUM(E60,E61)</f>
        <v>700000</v>
      </c>
      <c r="F59" s="10">
        <f>SUM(F60,F61)</f>
        <v>700000</v>
      </c>
      <c r="G59" s="10">
        <f t="shared" si="8"/>
        <v>0</v>
      </c>
      <c r="H59" s="209"/>
      <c r="I59" s="14"/>
      <c r="J59" s="35"/>
      <c r="K59" s="36"/>
      <c r="L59" s="36"/>
      <c r="M59" s="37"/>
      <c r="N59" s="36"/>
      <c r="O59" s="36"/>
      <c r="P59" s="37"/>
      <c r="Q59" s="36"/>
      <c r="R59" s="93"/>
      <c r="S59" s="93"/>
      <c r="T59" s="93"/>
      <c r="U59" s="15">
        <f>SUM(U60:U61)</f>
        <v>700000</v>
      </c>
    </row>
    <row r="60" spans="2:21" ht="24.95" customHeight="1">
      <c r="B60" s="96"/>
      <c r="C60" s="64"/>
      <c r="D60" s="64" t="s">
        <v>68</v>
      </c>
      <c r="E60" s="10">
        <v>500000</v>
      </c>
      <c r="F60" s="10">
        <v>500000</v>
      </c>
      <c r="G60" s="10">
        <f t="shared" si="8"/>
        <v>0</v>
      </c>
      <c r="H60" s="209">
        <f t="shared" ref="H60:H67" si="11">F60/E60*100-100</f>
        <v>0</v>
      </c>
      <c r="I60" s="1" t="s">
        <v>125</v>
      </c>
      <c r="J60" s="35">
        <v>500000</v>
      </c>
      <c r="K60" s="36" t="s">
        <v>16</v>
      </c>
      <c r="L60" s="36" t="s">
        <v>17</v>
      </c>
      <c r="M60" s="37">
        <v>1</v>
      </c>
      <c r="N60" s="36" t="s">
        <v>20</v>
      </c>
      <c r="O60" s="36"/>
      <c r="P60" s="37"/>
      <c r="Q60" s="36"/>
      <c r="R60" s="93"/>
      <c r="S60" s="93"/>
      <c r="T60" s="93"/>
      <c r="U60" s="15">
        <f>+J60*M60</f>
        <v>500000</v>
      </c>
    </row>
    <row r="61" spans="2:21" ht="24.95" customHeight="1">
      <c r="B61" s="96"/>
      <c r="C61" s="93"/>
      <c r="D61" s="64" t="s">
        <v>70</v>
      </c>
      <c r="E61" s="10">
        <v>200000</v>
      </c>
      <c r="F61" s="10">
        <v>200000</v>
      </c>
      <c r="G61" s="10">
        <f t="shared" si="8"/>
        <v>0</v>
      </c>
      <c r="H61" s="209">
        <f t="shared" si="11"/>
        <v>0</v>
      </c>
      <c r="I61" s="1" t="s">
        <v>126</v>
      </c>
      <c r="J61" s="35">
        <v>200000</v>
      </c>
      <c r="K61" s="36" t="s">
        <v>16</v>
      </c>
      <c r="L61" s="36" t="s">
        <v>17</v>
      </c>
      <c r="M61" s="37">
        <v>1</v>
      </c>
      <c r="N61" s="49" t="s">
        <v>20</v>
      </c>
      <c r="O61" s="36"/>
      <c r="P61" s="37"/>
      <c r="Q61" s="93"/>
      <c r="R61" s="93"/>
      <c r="S61" s="93"/>
      <c r="T61" s="93"/>
      <c r="U61" s="15">
        <f>+J61*M61</f>
        <v>200000</v>
      </c>
    </row>
    <row r="62" spans="2:21" ht="24.95" customHeight="1">
      <c r="B62" s="65" t="s">
        <v>47</v>
      </c>
      <c r="C62" s="356" t="s">
        <v>99</v>
      </c>
      <c r="D62" s="358"/>
      <c r="E62" s="10">
        <f>E63+E66+E83+E91+E97</f>
        <v>41980500</v>
      </c>
      <c r="F62" s="10">
        <f>F63+F66+F83+F91+F97</f>
        <v>38892000</v>
      </c>
      <c r="G62" s="10">
        <f>F62-E62</f>
        <v>-3088500</v>
      </c>
      <c r="H62" s="209">
        <f t="shared" si="11"/>
        <v>-7.3569871726158595</v>
      </c>
      <c r="I62" s="14"/>
      <c r="J62" s="35"/>
      <c r="K62" s="36"/>
      <c r="L62" s="36"/>
      <c r="M62" s="37"/>
      <c r="N62" s="36"/>
      <c r="O62" s="36"/>
      <c r="P62" s="37"/>
      <c r="Q62" s="93"/>
      <c r="R62" s="93"/>
      <c r="S62" s="93"/>
      <c r="T62" s="93"/>
      <c r="U62" s="15">
        <f>SUM(U63,U66,U83,U91,U97)</f>
        <v>38892000</v>
      </c>
    </row>
    <row r="63" spans="2:21" ht="24.95" customHeight="1">
      <c r="B63" s="75"/>
      <c r="C63" s="64" t="s">
        <v>26</v>
      </c>
      <c r="D63" s="64" t="s">
        <v>69</v>
      </c>
      <c r="E63" s="10">
        <f>SUM(E64:E65)</f>
        <v>1320000</v>
      </c>
      <c r="F63" s="10">
        <f>SUM(F64:F65)</f>
        <v>1440000</v>
      </c>
      <c r="G63" s="10">
        <f t="shared" si="8"/>
        <v>120000</v>
      </c>
      <c r="H63" s="209">
        <f t="shared" si="11"/>
        <v>9.0909090909090793</v>
      </c>
      <c r="I63" s="14"/>
      <c r="J63" s="35" t="s">
        <v>1</v>
      </c>
      <c r="K63" s="36" t="s">
        <v>1</v>
      </c>
      <c r="L63" s="36" t="s">
        <v>1</v>
      </c>
      <c r="M63" s="37" t="s">
        <v>1</v>
      </c>
      <c r="N63" s="36" t="s">
        <v>1</v>
      </c>
      <c r="O63" s="36" t="s">
        <v>1</v>
      </c>
      <c r="P63" s="37" t="s">
        <v>1</v>
      </c>
      <c r="Q63" s="93" t="s">
        <v>1</v>
      </c>
      <c r="R63" s="93"/>
      <c r="S63" s="93"/>
      <c r="T63" s="93"/>
      <c r="U63" s="15">
        <f>SUM(U64:U65)</f>
        <v>1440000</v>
      </c>
    </row>
    <row r="64" spans="2:21" ht="24.95" customHeight="1">
      <c r="B64" s="75"/>
      <c r="C64" s="64"/>
      <c r="D64" s="107" t="s">
        <v>127</v>
      </c>
      <c r="E64" s="10">
        <v>1320000</v>
      </c>
      <c r="F64" s="10">
        <v>0</v>
      </c>
      <c r="G64" s="10">
        <f t="shared" si="8"/>
        <v>-1320000</v>
      </c>
      <c r="H64" s="209">
        <f t="shared" si="11"/>
        <v>-100</v>
      </c>
      <c r="I64" s="1" t="s">
        <v>127</v>
      </c>
      <c r="J64" s="35"/>
      <c r="K64" s="49"/>
      <c r="L64" s="49"/>
      <c r="M64" s="37"/>
      <c r="N64" s="36"/>
      <c r="O64" s="36"/>
      <c r="P64" s="37"/>
      <c r="Q64" s="93"/>
      <c r="R64" s="93"/>
      <c r="S64" s="93"/>
      <c r="T64" s="93"/>
      <c r="U64" s="15"/>
    </row>
    <row r="65" spans="2:21" ht="24.95" customHeight="1">
      <c r="B65" s="75"/>
      <c r="C65" s="107"/>
      <c r="D65" s="107" t="s">
        <v>233</v>
      </c>
      <c r="E65" s="10"/>
      <c r="F65" s="10">
        <f>U65</f>
        <v>1440000</v>
      </c>
      <c r="G65" s="10">
        <f t="shared" si="8"/>
        <v>1440000</v>
      </c>
      <c r="H65" s="209">
        <v>0</v>
      </c>
      <c r="I65" s="1" t="s">
        <v>233</v>
      </c>
      <c r="J65" s="244">
        <v>120000</v>
      </c>
      <c r="K65" s="49" t="s">
        <v>234</v>
      </c>
      <c r="L65" s="49" t="s">
        <v>220</v>
      </c>
      <c r="M65" s="37">
        <v>12</v>
      </c>
      <c r="N65" s="36" t="s">
        <v>20</v>
      </c>
      <c r="O65" s="36"/>
      <c r="P65" s="37"/>
      <c r="Q65" s="120"/>
      <c r="R65" s="120"/>
      <c r="S65" s="120"/>
      <c r="T65" s="120"/>
      <c r="U65" s="15">
        <f>M65*J65</f>
        <v>1440000</v>
      </c>
    </row>
    <row r="66" spans="2:21" ht="30.75" customHeight="1">
      <c r="B66" s="96"/>
      <c r="C66" s="78" t="s">
        <v>149</v>
      </c>
      <c r="D66" s="64" t="s">
        <v>9</v>
      </c>
      <c r="E66" s="10">
        <f>SUM(E67,E68,E69,E72,E73,E74,E76,E79,E80)</f>
        <v>25106500</v>
      </c>
      <c r="F66" s="10">
        <f>SUM(F67,F68,F69,F72,F73,F74,F76,F79,F80)</f>
        <v>19892000</v>
      </c>
      <c r="G66" s="10">
        <f>F66-E66</f>
        <v>-5214500</v>
      </c>
      <c r="H66" s="209">
        <f>F66/E66*100-100</f>
        <v>-20.769521836974491</v>
      </c>
      <c r="I66" s="1"/>
      <c r="J66" s="35"/>
      <c r="K66" s="36"/>
      <c r="L66" s="36"/>
      <c r="M66" s="37"/>
      <c r="N66" s="36"/>
      <c r="O66" s="36"/>
      <c r="P66" s="37"/>
      <c r="Q66" s="36"/>
      <c r="R66" s="36"/>
      <c r="S66" s="37"/>
      <c r="T66" s="36"/>
      <c r="U66" s="15">
        <f>SUM(U67,U68,U69,U72,U73,U74,U76,U79,U80)</f>
        <v>19892000</v>
      </c>
    </row>
    <row r="67" spans="2:21" ht="24.95" customHeight="1">
      <c r="B67" s="96"/>
      <c r="C67" s="93"/>
      <c r="D67" s="64" t="s">
        <v>71</v>
      </c>
      <c r="E67" s="10">
        <v>7000000</v>
      </c>
      <c r="F67" s="10">
        <f>U67</f>
        <v>7000000</v>
      </c>
      <c r="G67" s="10">
        <f t="shared" si="8"/>
        <v>0</v>
      </c>
      <c r="H67" s="209">
        <f t="shared" si="11"/>
        <v>0</v>
      </c>
      <c r="I67" s="1" t="s">
        <v>71</v>
      </c>
      <c r="J67" s="244">
        <v>10000</v>
      </c>
      <c r="K67" s="36" t="s">
        <v>16</v>
      </c>
      <c r="L67" s="36" t="s">
        <v>17</v>
      </c>
      <c r="M67" s="37">
        <v>140</v>
      </c>
      <c r="N67" s="49" t="s">
        <v>19</v>
      </c>
      <c r="O67" s="36" t="s">
        <v>17</v>
      </c>
      <c r="P67" s="37">
        <v>5</v>
      </c>
      <c r="Q67" s="49" t="s">
        <v>20</v>
      </c>
      <c r="R67" s="36"/>
      <c r="S67" s="37"/>
      <c r="T67" s="36"/>
      <c r="U67" s="15">
        <f>J67*M67*P67</f>
        <v>7000000</v>
      </c>
    </row>
    <row r="68" spans="2:21" ht="24.95" customHeight="1">
      <c r="B68" s="96"/>
      <c r="C68" s="93"/>
      <c r="D68" s="64" t="s">
        <v>72</v>
      </c>
      <c r="E68" s="10">
        <v>3700000</v>
      </c>
      <c r="F68" s="10">
        <f>U68</f>
        <v>3700000</v>
      </c>
      <c r="G68" s="10">
        <f t="shared" si="8"/>
        <v>0</v>
      </c>
      <c r="H68" s="209"/>
      <c r="I68" s="1" t="s">
        <v>104</v>
      </c>
      <c r="J68" s="244">
        <v>3700000</v>
      </c>
      <c r="K68" s="49" t="s">
        <v>209</v>
      </c>
      <c r="L68" s="36" t="s">
        <v>17</v>
      </c>
      <c r="M68" s="37">
        <v>1</v>
      </c>
      <c r="N68" s="49" t="s">
        <v>214</v>
      </c>
      <c r="O68" s="36"/>
      <c r="P68" s="37"/>
      <c r="Q68" s="49"/>
      <c r="R68" s="36"/>
      <c r="S68" s="37"/>
      <c r="T68" s="36"/>
      <c r="U68" s="15">
        <f>M68*J68</f>
        <v>3700000</v>
      </c>
    </row>
    <row r="69" spans="2:21" ht="24.95" customHeight="1">
      <c r="B69" s="96"/>
      <c r="C69" s="93"/>
      <c r="D69" s="64" t="s">
        <v>73</v>
      </c>
      <c r="E69" s="10">
        <v>2832000</v>
      </c>
      <c r="F69" s="10">
        <f>U69</f>
        <v>1600000</v>
      </c>
      <c r="G69" s="10">
        <f t="shared" si="8"/>
        <v>-1232000</v>
      </c>
      <c r="H69" s="209"/>
      <c r="I69" s="1" t="s">
        <v>218</v>
      </c>
      <c r="J69" s="244"/>
      <c r="K69" s="36"/>
      <c r="L69" s="36"/>
      <c r="M69" s="37"/>
      <c r="N69" s="49"/>
      <c r="O69" s="36"/>
      <c r="P69" s="37"/>
      <c r="Q69" s="36"/>
      <c r="R69" s="36"/>
      <c r="S69" s="37"/>
      <c r="T69" s="36"/>
      <c r="U69" s="15">
        <f>SUM(U70,U71)</f>
        <v>1600000</v>
      </c>
    </row>
    <row r="70" spans="2:21" ht="24.95" customHeight="1">
      <c r="B70" s="96"/>
      <c r="C70" s="93"/>
      <c r="D70" s="64"/>
      <c r="E70" s="10"/>
      <c r="F70" s="10"/>
      <c r="G70" s="10"/>
      <c r="H70" s="209"/>
      <c r="I70" s="1" t="s">
        <v>217</v>
      </c>
      <c r="J70" s="244">
        <v>10000</v>
      </c>
      <c r="K70" s="49" t="s">
        <v>57</v>
      </c>
      <c r="L70" s="36" t="s">
        <v>17</v>
      </c>
      <c r="M70" s="37">
        <v>140</v>
      </c>
      <c r="N70" s="49" t="s">
        <v>19</v>
      </c>
      <c r="O70" s="36" t="s">
        <v>17</v>
      </c>
      <c r="P70" s="37">
        <v>1</v>
      </c>
      <c r="Q70" s="49" t="s">
        <v>20</v>
      </c>
      <c r="R70" s="36"/>
      <c r="S70" s="37"/>
      <c r="T70" s="36"/>
      <c r="U70" s="15">
        <f>P70*M70*J70</f>
        <v>1400000</v>
      </c>
    </row>
    <row r="71" spans="2:21" ht="24.95" customHeight="1">
      <c r="B71" s="96"/>
      <c r="C71" s="93"/>
      <c r="D71" s="64"/>
      <c r="E71" s="10"/>
      <c r="F71" s="10"/>
      <c r="G71" s="10"/>
      <c r="H71" s="209"/>
      <c r="I71" s="1" t="s">
        <v>215</v>
      </c>
      <c r="J71" s="244">
        <v>100000</v>
      </c>
      <c r="K71" s="49" t="s">
        <v>57</v>
      </c>
      <c r="L71" s="36" t="s">
        <v>17</v>
      </c>
      <c r="M71" s="67">
        <v>2</v>
      </c>
      <c r="N71" s="107" t="s">
        <v>214</v>
      </c>
      <c r="O71" s="36"/>
      <c r="P71" s="67"/>
      <c r="Q71" s="107"/>
      <c r="R71" s="93"/>
      <c r="S71" s="93"/>
      <c r="T71" s="93"/>
      <c r="U71" s="15">
        <f>M71*J71</f>
        <v>200000</v>
      </c>
    </row>
    <row r="72" spans="2:21" ht="24.95" customHeight="1">
      <c r="B72" s="96"/>
      <c r="C72" s="93"/>
      <c r="D72" s="64" t="s">
        <v>74</v>
      </c>
      <c r="E72" s="10">
        <v>80000</v>
      </c>
      <c r="F72" s="10">
        <f>U72</f>
        <v>192000</v>
      </c>
      <c r="G72" s="10">
        <f t="shared" ref="G72:G73" si="12">F72-E72</f>
        <v>112000</v>
      </c>
      <c r="H72" s="209">
        <f>F72/E72*100-100</f>
        <v>140</v>
      </c>
      <c r="I72" s="1" t="s">
        <v>103</v>
      </c>
      <c r="J72" s="244">
        <v>8000</v>
      </c>
      <c r="K72" s="49" t="s">
        <v>57</v>
      </c>
      <c r="L72" s="36" t="s">
        <v>17</v>
      </c>
      <c r="M72" s="37">
        <v>2</v>
      </c>
      <c r="N72" s="49" t="s">
        <v>19</v>
      </c>
      <c r="O72" s="36" t="s">
        <v>17</v>
      </c>
      <c r="P72" s="37">
        <v>12</v>
      </c>
      <c r="Q72" s="64" t="s">
        <v>59</v>
      </c>
      <c r="R72" s="93"/>
      <c r="S72" s="93"/>
      <c r="T72" s="93"/>
      <c r="U72" s="15">
        <f>P72*M72*J72</f>
        <v>192000</v>
      </c>
    </row>
    <row r="73" spans="2:21" ht="24.95" customHeight="1">
      <c r="B73" s="98"/>
      <c r="C73" s="103"/>
      <c r="D73" s="104" t="s">
        <v>102</v>
      </c>
      <c r="E73" s="10">
        <v>1684000</v>
      </c>
      <c r="F73" s="10">
        <f>U73</f>
        <v>0</v>
      </c>
      <c r="G73" s="10">
        <f t="shared" si="12"/>
        <v>-1684000</v>
      </c>
      <c r="H73" s="209"/>
      <c r="I73" s="1"/>
      <c r="J73" s="244"/>
      <c r="K73" s="36"/>
      <c r="L73" s="36"/>
      <c r="M73" s="37"/>
      <c r="N73" s="36"/>
      <c r="O73" s="36"/>
      <c r="P73" s="37"/>
      <c r="Q73" s="103"/>
      <c r="R73" s="103"/>
      <c r="S73" s="103"/>
      <c r="T73" s="103"/>
      <c r="U73" s="15"/>
    </row>
    <row r="74" spans="2:21" ht="24.95" customHeight="1">
      <c r="B74" s="96"/>
      <c r="C74" s="93"/>
      <c r="D74" s="64" t="s">
        <v>75</v>
      </c>
      <c r="E74" s="10">
        <v>600000</v>
      </c>
      <c r="F74" s="10">
        <f>U74</f>
        <v>400000</v>
      </c>
      <c r="G74" s="10">
        <f t="shared" ref="G74" si="13">F74-E74</f>
        <v>-200000</v>
      </c>
      <c r="H74" s="209">
        <f>F74/E74*100-100</f>
        <v>-33.333333333333343</v>
      </c>
      <c r="I74" s="1" t="s">
        <v>75</v>
      </c>
      <c r="J74" s="244"/>
      <c r="K74" s="36"/>
      <c r="L74" s="36"/>
      <c r="M74" s="37"/>
      <c r="N74" s="49"/>
      <c r="O74" s="36"/>
      <c r="P74" s="37"/>
      <c r="Q74" s="64"/>
      <c r="R74" s="93"/>
      <c r="S74" s="93"/>
      <c r="T74" s="93"/>
      <c r="U74" s="15">
        <f>U75</f>
        <v>400000</v>
      </c>
    </row>
    <row r="75" spans="2:21" ht="24.95" customHeight="1">
      <c r="B75" s="96"/>
      <c r="C75" s="93"/>
      <c r="D75" s="64"/>
      <c r="E75" s="10"/>
      <c r="F75" s="10"/>
      <c r="G75" s="10"/>
      <c r="H75" s="209"/>
      <c r="I75" s="1" t="s">
        <v>105</v>
      </c>
      <c r="J75" s="244">
        <v>200000</v>
      </c>
      <c r="K75" s="49" t="s">
        <v>57</v>
      </c>
      <c r="L75" s="36" t="s">
        <v>17</v>
      </c>
      <c r="M75" s="37">
        <v>2</v>
      </c>
      <c r="N75" s="49" t="s">
        <v>55</v>
      </c>
      <c r="O75" s="36"/>
      <c r="P75" s="37"/>
      <c r="Q75" s="64"/>
      <c r="R75" s="93"/>
      <c r="S75" s="93"/>
      <c r="T75" s="93"/>
      <c r="U75" s="15">
        <f>M75*J75</f>
        <v>400000</v>
      </c>
    </row>
    <row r="76" spans="2:21" ht="24.95" customHeight="1">
      <c r="B76" s="98"/>
      <c r="C76" s="120"/>
      <c r="D76" s="107" t="s">
        <v>76</v>
      </c>
      <c r="E76" s="10">
        <v>2120000</v>
      </c>
      <c r="F76" s="10">
        <f>U76</f>
        <v>2000000</v>
      </c>
      <c r="G76" s="10">
        <f>F76-E76</f>
        <v>-120000</v>
      </c>
      <c r="H76" s="209">
        <f>F76/E76*100-100</f>
        <v>-5.6603773584905639</v>
      </c>
      <c r="I76" s="1" t="s">
        <v>76</v>
      </c>
      <c r="J76" s="244"/>
      <c r="K76" s="36"/>
      <c r="L76" s="36"/>
      <c r="M76" s="37"/>
      <c r="N76" s="36"/>
      <c r="O76" s="36"/>
      <c r="P76" s="37"/>
      <c r="Q76" s="120"/>
      <c r="R76" s="120"/>
      <c r="S76" s="120"/>
      <c r="T76" s="120"/>
      <c r="U76" s="15">
        <f>SUM(U77:U78)</f>
        <v>2000000</v>
      </c>
    </row>
    <row r="77" spans="2:21" ht="24.95" customHeight="1">
      <c r="B77" s="98"/>
      <c r="C77" s="120"/>
      <c r="D77" s="107"/>
      <c r="E77" s="10"/>
      <c r="F77" s="10"/>
      <c r="G77" s="10"/>
      <c r="H77" s="209"/>
      <c r="I77" s="1" t="s">
        <v>152</v>
      </c>
      <c r="J77" s="244">
        <v>10000</v>
      </c>
      <c r="K77" s="49" t="s">
        <v>57</v>
      </c>
      <c r="L77" s="36" t="s">
        <v>17</v>
      </c>
      <c r="M77" s="37">
        <v>11</v>
      </c>
      <c r="N77" s="49" t="s">
        <v>19</v>
      </c>
      <c r="O77" s="36" t="s">
        <v>17</v>
      </c>
      <c r="P77" s="67">
        <v>12</v>
      </c>
      <c r="Q77" s="107" t="s">
        <v>130</v>
      </c>
      <c r="R77" s="120"/>
      <c r="S77" s="120"/>
      <c r="T77" s="120"/>
      <c r="U77" s="15">
        <f>J77*M77*P77</f>
        <v>1320000</v>
      </c>
    </row>
    <row r="78" spans="2:21" ht="24.95" customHeight="1">
      <c r="B78" s="98"/>
      <c r="C78" s="120"/>
      <c r="D78" s="107"/>
      <c r="E78" s="10"/>
      <c r="F78" s="10"/>
      <c r="G78" s="10"/>
      <c r="H78" s="209"/>
      <c r="I78" s="1" t="s">
        <v>186</v>
      </c>
      <c r="J78" s="244"/>
      <c r="K78" s="49"/>
      <c r="L78" s="36"/>
      <c r="M78" s="37"/>
      <c r="N78" s="49"/>
      <c r="O78" s="36"/>
      <c r="P78" s="67"/>
      <c r="Q78" s="107"/>
      <c r="R78" s="120"/>
      <c r="S78" s="120"/>
      <c r="T78" s="120"/>
      <c r="U78" s="15">
        <v>680000</v>
      </c>
    </row>
    <row r="79" spans="2:21" ht="24.95" customHeight="1">
      <c r="B79" s="98"/>
      <c r="C79" s="120"/>
      <c r="D79" s="107" t="s">
        <v>77</v>
      </c>
      <c r="E79" s="10">
        <v>0</v>
      </c>
      <c r="F79" s="10">
        <f>U79</f>
        <v>0</v>
      </c>
      <c r="G79" s="10">
        <f t="shared" ref="G79" si="14">F79-E79</f>
        <v>0</v>
      </c>
      <c r="H79" s="209"/>
      <c r="I79" s="1"/>
      <c r="J79" s="244"/>
      <c r="K79" s="49"/>
      <c r="L79" s="36"/>
      <c r="M79" s="37"/>
      <c r="N79" s="49"/>
      <c r="O79" s="36"/>
      <c r="P79" s="37"/>
      <c r="Q79" s="120"/>
      <c r="R79" s="120"/>
      <c r="S79" s="120"/>
      <c r="T79" s="120"/>
      <c r="U79" s="15"/>
    </row>
    <row r="80" spans="2:21" ht="24.95" customHeight="1">
      <c r="B80" s="98"/>
      <c r="C80" s="120"/>
      <c r="D80" s="107" t="s">
        <v>78</v>
      </c>
      <c r="E80" s="10">
        <v>7090500</v>
      </c>
      <c r="F80" s="10">
        <f>U80</f>
        <v>5000000</v>
      </c>
      <c r="G80" s="10">
        <f>F80-E80</f>
        <v>-2090500</v>
      </c>
      <c r="H80" s="209">
        <f>F80/E80*100-100</f>
        <v>-29.483111205133625</v>
      </c>
      <c r="I80" s="1" t="s">
        <v>78</v>
      </c>
      <c r="J80" s="244"/>
      <c r="K80" s="36"/>
      <c r="L80" s="36"/>
      <c r="M80" s="37"/>
      <c r="N80" s="36"/>
      <c r="O80" s="36"/>
      <c r="P80" s="37"/>
      <c r="Q80" s="120"/>
      <c r="R80" s="120"/>
      <c r="S80" s="120"/>
      <c r="T80" s="120"/>
      <c r="U80" s="15">
        <f>SUM(U81,,U82)</f>
        <v>5000000</v>
      </c>
    </row>
    <row r="81" spans="2:21" ht="24.95" customHeight="1">
      <c r="B81" s="98"/>
      <c r="C81" s="120"/>
      <c r="D81" s="107"/>
      <c r="E81" s="10"/>
      <c r="F81" s="10"/>
      <c r="G81" s="10">
        <f t="shared" si="0"/>
        <v>0</v>
      </c>
      <c r="H81" s="209"/>
      <c r="I81" s="1" t="s">
        <v>212</v>
      </c>
      <c r="J81" s="244">
        <v>2500000</v>
      </c>
      <c r="K81" s="36" t="s">
        <v>16</v>
      </c>
      <c r="L81" s="36" t="s">
        <v>17</v>
      </c>
      <c r="M81" s="67">
        <v>1</v>
      </c>
      <c r="N81" s="49" t="s">
        <v>55</v>
      </c>
      <c r="O81" s="36"/>
      <c r="P81" s="37"/>
      <c r="Q81" s="36"/>
      <c r="R81" s="120"/>
      <c r="S81" s="120"/>
      <c r="T81" s="120"/>
      <c r="U81" s="15">
        <f>M81*J81</f>
        <v>2500000</v>
      </c>
    </row>
    <row r="82" spans="2:21" ht="24.95" customHeight="1">
      <c r="B82" s="98"/>
      <c r="C82" s="120"/>
      <c r="D82" s="107"/>
      <c r="E82" s="10"/>
      <c r="F82" s="10"/>
      <c r="G82" s="10"/>
      <c r="H82" s="209"/>
      <c r="I82" s="1" t="s">
        <v>213</v>
      </c>
      <c r="J82" s="244">
        <v>2500000</v>
      </c>
      <c r="K82" s="36" t="s">
        <v>16</v>
      </c>
      <c r="L82" s="36" t="s">
        <v>17</v>
      </c>
      <c r="M82" s="67">
        <v>1</v>
      </c>
      <c r="N82" s="49" t="s">
        <v>55</v>
      </c>
      <c r="O82" s="36"/>
      <c r="P82" s="37"/>
      <c r="Q82" s="36"/>
      <c r="R82" s="120"/>
      <c r="S82" s="120"/>
      <c r="T82" s="120"/>
      <c r="U82" s="15">
        <f>M82*J82</f>
        <v>2500000</v>
      </c>
    </row>
    <row r="83" spans="2:21" ht="30" customHeight="1">
      <c r="B83" s="98"/>
      <c r="C83" s="78" t="s">
        <v>151</v>
      </c>
      <c r="D83" s="107" t="s">
        <v>69</v>
      </c>
      <c r="E83" s="10">
        <f>SUM(E84,E88,E85)</f>
        <v>2224000</v>
      </c>
      <c r="F83" s="10">
        <f>SUM(F84,F88,F85)</f>
        <v>3300000</v>
      </c>
      <c r="G83" s="10">
        <f>F83-E83</f>
        <v>1076000</v>
      </c>
      <c r="H83" s="209">
        <f t="shared" ref="H83:H88" si="15">F83/E83*100-100</f>
        <v>48.381294964028797</v>
      </c>
      <c r="I83" s="1" t="s">
        <v>80</v>
      </c>
      <c r="J83" s="244"/>
      <c r="K83" s="36"/>
      <c r="L83" s="36"/>
      <c r="M83" s="37"/>
      <c r="N83" s="36"/>
      <c r="O83" s="36"/>
      <c r="P83" s="37"/>
      <c r="Q83" s="120"/>
      <c r="R83" s="120"/>
      <c r="S83" s="120"/>
      <c r="T83" s="120"/>
      <c r="U83" s="76">
        <f>SUM(U84,U88,U85)</f>
        <v>3300000</v>
      </c>
    </row>
    <row r="84" spans="2:21" ht="24.95" customHeight="1">
      <c r="B84" s="96"/>
      <c r="C84" s="93"/>
      <c r="D84" s="107" t="s">
        <v>250</v>
      </c>
      <c r="E84" s="10">
        <v>400000</v>
      </c>
      <c r="F84" s="10">
        <f>U84</f>
        <v>0</v>
      </c>
      <c r="G84" s="10">
        <f t="shared" ref="G84:G85" si="16">F84-E84</f>
        <v>-400000</v>
      </c>
      <c r="H84" s="209">
        <f t="shared" si="15"/>
        <v>-100</v>
      </c>
      <c r="I84" s="14"/>
      <c r="J84" s="14"/>
      <c r="K84" s="14"/>
      <c r="L84" s="14"/>
      <c r="M84" s="14"/>
      <c r="N84" s="14"/>
      <c r="O84" s="14"/>
      <c r="P84" s="37"/>
      <c r="Q84" s="36"/>
      <c r="R84" s="120"/>
      <c r="S84" s="120"/>
      <c r="T84" s="120"/>
      <c r="U84" s="76"/>
    </row>
    <row r="85" spans="2:21" ht="24.95" customHeight="1">
      <c r="B85" s="98"/>
      <c r="C85" s="120"/>
      <c r="D85" s="107" t="s">
        <v>208</v>
      </c>
      <c r="E85" s="10"/>
      <c r="F85" s="10">
        <f>U85</f>
        <v>1900000</v>
      </c>
      <c r="G85" s="10">
        <f t="shared" si="16"/>
        <v>1900000</v>
      </c>
      <c r="H85" s="209"/>
      <c r="I85" s="1" t="s">
        <v>211</v>
      </c>
      <c r="J85" s="35"/>
      <c r="K85" s="49"/>
      <c r="L85" s="36"/>
      <c r="M85" s="67"/>
      <c r="N85" s="49"/>
      <c r="O85" s="49"/>
      <c r="P85" s="37"/>
      <c r="Q85" s="36"/>
      <c r="R85" s="120"/>
      <c r="S85" s="120"/>
      <c r="T85" s="120"/>
      <c r="U85" s="15">
        <f>U86+U87</f>
        <v>1900000</v>
      </c>
    </row>
    <row r="86" spans="2:21" ht="24.95" customHeight="1">
      <c r="B86" s="98"/>
      <c r="C86" s="120"/>
      <c r="D86" s="107"/>
      <c r="E86" s="10"/>
      <c r="F86" s="10"/>
      <c r="G86" s="10"/>
      <c r="H86" s="209"/>
      <c r="I86" s="1" t="s">
        <v>235</v>
      </c>
      <c r="J86" s="35">
        <v>15000</v>
      </c>
      <c r="K86" s="49" t="s">
        <v>209</v>
      </c>
      <c r="L86" s="36" t="s">
        <v>17</v>
      </c>
      <c r="M86" s="67">
        <v>20</v>
      </c>
      <c r="N86" s="49" t="s">
        <v>261</v>
      </c>
      <c r="O86" s="49"/>
      <c r="P86" s="37"/>
      <c r="Q86" s="36"/>
      <c r="R86" s="120"/>
      <c r="S86" s="120"/>
      <c r="T86" s="120"/>
      <c r="U86" s="15">
        <f>M86*J86</f>
        <v>300000</v>
      </c>
    </row>
    <row r="87" spans="2:21" ht="24.95" customHeight="1">
      <c r="B87" s="98"/>
      <c r="C87" s="120"/>
      <c r="D87" s="107"/>
      <c r="E87" s="10"/>
      <c r="F87" s="10"/>
      <c r="G87" s="10"/>
      <c r="H87" s="209"/>
      <c r="I87" s="1" t="s">
        <v>236</v>
      </c>
      <c r="J87" s="35">
        <v>400000</v>
      </c>
      <c r="K87" s="49" t="s">
        <v>234</v>
      </c>
      <c r="L87" s="36" t="s">
        <v>17</v>
      </c>
      <c r="M87" s="67">
        <v>4</v>
      </c>
      <c r="N87" s="49" t="s">
        <v>237</v>
      </c>
      <c r="O87" s="49"/>
      <c r="P87" s="37"/>
      <c r="Q87" s="36"/>
      <c r="R87" s="120"/>
      <c r="S87" s="120"/>
      <c r="T87" s="120"/>
      <c r="U87" s="15">
        <f>M87*J87</f>
        <v>1600000</v>
      </c>
    </row>
    <row r="88" spans="2:21" ht="24.95" customHeight="1">
      <c r="B88" s="98"/>
      <c r="C88" s="120"/>
      <c r="D88" s="107" t="s">
        <v>81</v>
      </c>
      <c r="E88" s="10">
        <v>1824000</v>
      </c>
      <c r="F88" s="10">
        <f>U88</f>
        <v>1400000</v>
      </c>
      <c r="G88" s="10">
        <f>F88-E88</f>
        <v>-424000</v>
      </c>
      <c r="H88" s="209">
        <f t="shared" si="15"/>
        <v>-23.245614035087712</v>
      </c>
      <c r="I88" s="1" t="s">
        <v>210</v>
      </c>
      <c r="J88" s="35"/>
      <c r="K88" s="36"/>
      <c r="L88" s="36"/>
      <c r="M88" s="37"/>
      <c r="N88" s="36"/>
      <c r="O88" s="36" t="s">
        <v>1</v>
      </c>
      <c r="P88" s="37" t="s">
        <v>1</v>
      </c>
      <c r="Q88" s="120" t="s">
        <v>1</v>
      </c>
      <c r="R88" s="120"/>
      <c r="S88" s="120"/>
      <c r="T88" s="120"/>
      <c r="U88" s="15">
        <f>U89+U90</f>
        <v>1400000</v>
      </c>
    </row>
    <row r="89" spans="2:21" ht="24.95" customHeight="1">
      <c r="B89" s="98"/>
      <c r="C89" s="120"/>
      <c r="D89" s="107"/>
      <c r="E89" s="10"/>
      <c r="F89" s="10"/>
      <c r="G89" s="10"/>
      <c r="H89" s="209"/>
      <c r="I89" s="1" t="s">
        <v>216</v>
      </c>
      <c r="J89" s="35">
        <v>350000</v>
      </c>
      <c r="K89" s="49" t="s">
        <v>209</v>
      </c>
      <c r="L89" s="36" t="s">
        <v>17</v>
      </c>
      <c r="M89" s="67">
        <v>2</v>
      </c>
      <c r="N89" s="49" t="s">
        <v>55</v>
      </c>
      <c r="O89" s="49"/>
      <c r="P89" s="37"/>
      <c r="Q89" s="107"/>
      <c r="R89" s="120"/>
      <c r="S89" s="120"/>
      <c r="T89" s="120"/>
      <c r="U89" s="15">
        <f>M89*J89</f>
        <v>700000</v>
      </c>
    </row>
    <row r="90" spans="2:21" ht="24.95" customHeight="1">
      <c r="B90" s="98"/>
      <c r="C90" s="120"/>
      <c r="D90" s="107"/>
      <c r="E90" s="10"/>
      <c r="F90" s="10"/>
      <c r="G90" s="10"/>
      <c r="H90" s="209"/>
      <c r="I90" s="1" t="s">
        <v>238</v>
      </c>
      <c r="J90" s="35">
        <v>700000</v>
      </c>
      <c r="K90" s="49" t="s">
        <v>234</v>
      </c>
      <c r="L90" s="49" t="s">
        <v>220</v>
      </c>
      <c r="M90" s="67">
        <v>1</v>
      </c>
      <c r="N90" s="49" t="s">
        <v>239</v>
      </c>
      <c r="O90" s="49"/>
      <c r="P90" s="37"/>
      <c r="Q90" s="107"/>
      <c r="R90" s="120"/>
      <c r="S90" s="120"/>
      <c r="T90" s="120"/>
      <c r="U90" s="15">
        <f>M90*J90</f>
        <v>700000</v>
      </c>
    </row>
    <row r="91" spans="2:21" ht="32.25" customHeight="1">
      <c r="B91" s="98"/>
      <c r="C91" s="78" t="s">
        <v>150</v>
      </c>
      <c r="D91" s="107" t="s">
        <v>69</v>
      </c>
      <c r="E91" s="10">
        <f>E92+E95+E96</f>
        <v>6580000</v>
      </c>
      <c r="F91" s="10">
        <f>F92+F95+F96</f>
        <v>7300000</v>
      </c>
      <c r="G91" s="10">
        <f>F91-E91</f>
        <v>720000</v>
      </c>
      <c r="H91" s="209">
        <f>F91/E91*100-100</f>
        <v>10.942249240121569</v>
      </c>
      <c r="I91" s="14"/>
      <c r="J91" s="35"/>
      <c r="K91" s="36"/>
      <c r="L91" s="36"/>
      <c r="M91" s="67"/>
      <c r="N91" s="49"/>
      <c r="O91" s="36"/>
      <c r="P91" s="37"/>
      <c r="Q91" s="120" t="s">
        <v>1</v>
      </c>
      <c r="R91" s="120"/>
      <c r="S91" s="120"/>
      <c r="T91" s="120"/>
      <c r="U91" s="15">
        <f>SUM(U92,U95,U96)</f>
        <v>7300000</v>
      </c>
    </row>
    <row r="92" spans="2:21" ht="24.95" customHeight="1">
      <c r="B92" s="98"/>
      <c r="C92" s="120"/>
      <c r="D92" s="107" t="s">
        <v>82</v>
      </c>
      <c r="E92" s="10">
        <v>4600000</v>
      </c>
      <c r="F92" s="10">
        <f>U92</f>
        <v>4900000</v>
      </c>
      <c r="G92" s="10">
        <f t="shared" ref="G92:G120" si="17">F92-E92</f>
        <v>300000</v>
      </c>
      <c r="H92" s="209"/>
      <c r="I92" s="119" t="s">
        <v>187</v>
      </c>
      <c r="J92" s="35"/>
      <c r="K92" s="36"/>
      <c r="L92" s="36"/>
      <c r="M92" s="37"/>
      <c r="N92" s="36"/>
      <c r="O92" s="36" t="s">
        <v>1</v>
      </c>
      <c r="P92" s="37" t="s">
        <v>1</v>
      </c>
      <c r="Q92" s="120" t="s">
        <v>1</v>
      </c>
      <c r="R92" s="120"/>
      <c r="S92" s="120"/>
      <c r="T92" s="120"/>
      <c r="U92" s="15">
        <f>SUM(U93,U94)</f>
        <v>4900000</v>
      </c>
    </row>
    <row r="93" spans="2:21" ht="24.95" customHeight="1">
      <c r="B93" s="98"/>
      <c r="C93" s="120"/>
      <c r="D93" s="120"/>
      <c r="E93" s="10"/>
      <c r="F93" s="10"/>
      <c r="G93" s="10">
        <f t="shared" si="17"/>
        <v>0</v>
      </c>
      <c r="H93" s="209"/>
      <c r="I93" s="1" t="s">
        <v>106</v>
      </c>
      <c r="J93" s="35">
        <v>55000</v>
      </c>
      <c r="K93" s="36" t="s">
        <v>16</v>
      </c>
      <c r="L93" s="36" t="s">
        <v>17</v>
      </c>
      <c r="M93" s="37">
        <v>30</v>
      </c>
      <c r="N93" s="107" t="s">
        <v>19</v>
      </c>
      <c r="O93" s="36" t="s">
        <v>17</v>
      </c>
      <c r="P93" s="37">
        <v>2</v>
      </c>
      <c r="Q93" s="36" t="s">
        <v>20</v>
      </c>
      <c r="R93" s="120"/>
      <c r="S93" s="37"/>
      <c r="T93" s="36"/>
      <c r="U93" s="15">
        <f>P93*M93*J93</f>
        <v>3300000</v>
      </c>
    </row>
    <row r="94" spans="2:21" ht="24.95" customHeight="1">
      <c r="B94" s="98"/>
      <c r="C94" s="120"/>
      <c r="D94" s="120"/>
      <c r="E94" s="10"/>
      <c r="F94" s="10"/>
      <c r="G94" s="10"/>
      <c r="H94" s="209"/>
      <c r="I94" s="1" t="s">
        <v>107</v>
      </c>
      <c r="J94" s="35">
        <v>50000</v>
      </c>
      <c r="K94" s="36" t="s">
        <v>16</v>
      </c>
      <c r="L94" s="36" t="s">
        <v>17</v>
      </c>
      <c r="M94" s="37">
        <v>8</v>
      </c>
      <c r="N94" s="107" t="s">
        <v>101</v>
      </c>
      <c r="O94" s="36" t="s">
        <v>17</v>
      </c>
      <c r="P94" s="37">
        <v>4</v>
      </c>
      <c r="Q94" s="36" t="s">
        <v>20</v>
      </c>
      <c r="R94" s="120"/>
      <c r="S94" s="37"/>
      <c r="T94" s="36"/>
      <c r="U94" s="15">
        <f>P94*M94*J94</f>
        <v>1600000</v>
      </c>
    </row>
    <row r="95" spans="2:21" ht="24.95" customHeight="1">
      <c r="B95" s="98"/>
      <c r="C95" s="120"/>
      <c r="D95" s="107" t="s">
        <v>83</v>
      </c>
      <c r="E95" s="10">
        <v>1680000</v>
      </c>
      <c r="F95" s="10">
        <f>U95</f>
        <v>2100000</v>
      </c>
      <c r="G95" s="10">
        <f>F95-E95</f>
        <v>420000</v>
      </c>
      <c r="H95" s="209">
        <f>F95/E95*100-100</f>
        <v>25</v>
      </c>
      <c r="I95" s="1" t="s">
        <v>108</v>
      </c>
      <c r="J95" s="35">
        <v>5000</v>
      </c>
      <c r="K95" s="49" t="s">
        <v>16</v>
      </c>
      <c r="L95" s="36" t="s">
        <v>17</v>
      </c>
      <c r="M95" s="37">
        <v>35</v>
      </c>
      <c r="N95" s="49" t="s">
        <v>19</v>
      </c>
      <c r="O95" s="36" t="s">
        <v>17</v>
      </c>
      <c r="P95" s="37">
        <v>12</v>
      </c>
      <c r="Q95" s="107" t="s">
        <v>55</v>
      </c>
      <c r="R95" s="120"/>
      <c r="S95" s="120"/>
      <c r="T95" s="120"/>
      <c r="U95" s="15">
        <f>P95*M95*J95</f>
        <v>2100000</v>
      </c>
    </row>
    <row r="96" spans="2:21" ht="24.95" customHeight="1">
      <c r="B96" s="98"/>
      <c r="C96" s="120"/>
      <c r="D96" s="107" t="s">
        <v>84</v>
      </c>
      <c r="E96" s="10">
        <v>300000</v>
      </c>
      <c r="F96" s="10">
        <f>U96</f>
        <v>300000</v>
      </c>
      <c r="G96" s="10">
        <f>F96-E96</f>
        <v>0</v>
      </c>
      <c r="H96" s="209">
        <f t="shared" ref="H96:H98" si="18">F96/E96*100-100</f>
        <v>0</v>
      </c>
      <c r="I96" s="1" t="s">
        <v>84</v>
      </c>
      <c r="J96" s="35">
        <v>300000</v>
      </c>
      <c r="K96" s="49" t="s">
        <v>16</v>
      </c>
      <c r="L96" s="36" t="s">
        <v>17</v>
      </c>
      <c r="M96" s="37">
        <v>1</v>
      </c>
      <c r="N96" s="49" t="s">
        <v>55</v>
      </c>
      <c r="O96" s="36" t="s">
        <v>1</v>
      </c>
      <c r="P96" s="37" t="s">
        <v>1</v>
      </c>
      <c r="Q96" s="120" t="s">
        <v>1</v>
      </c>
      <c r="R96" s="120"/>
      <c r="S96" s="120"/>
      <c r="T96" s="120"/>
      <c r="U96" s="15">
        <f>M96*J96</f>
        <v>300000</v>
      </c>
    </row>
    <row r="97" spans="2:21" ht="24.95" customHeight="1">
      <c r="B97" s="98"/>
      <c r="C97" s="107" t="s">
        <v>31</v>
      </c>
      <c r="D97" s="107" t="s">
        <v>46</v>
      </c>
      <c r="E97" s="10">
        <f>SUM(E98,E107,E108,E113,E116)</f>
        <v>6750000</v>
      </c>
      <c r="F97" s="10">
        <f>SUM(F98,F107,F108,F113,F116)</f>
        <v>6960000</v>
      </c>
      <c r="G97" s="10">
        <f>F97-E97</f>
        <v>210000</v>
      </c>
      <c r="H97" s="209">
        <f t="shared" si="18"/>
        <v>3.1111111111111143</v>
      </c>
      <c r="I97" s="14"/>
      <c r="J97" s="35"/>
      <c r="K97" s="36"/>
      <c r="L97" s="36"/>
      <c r="M97" s="37"/>
      <c r="N97" s="36"/>
      <c r="O97" s="36"/>
      <c r="P97" s="37"/>
      <c r="Q97" s="120"/>
      <c r="R97" s="120"/>
      <c r="S97" s="120"/>
      <c r="T97" s="120"/>
      <c r="U97" s="15">
        <f>SUM(U98,U107,U108,U113,U116)</f>
        <v>6960000</v>
      </c>
    </row>
    <row r="98" spans="2:21" ht="24.75" customHeight="1">
      <c r="B98" s="98"/>
      <c r="C98" s="120"/>
      <c r="D98" s="107" t="s">
        <v>85</v>
      </c>
      <c r="E98" s="10">
        <v>2550000</v>
      </c>
      <c r="F98" s="10">
        <f>U98</f>
        <v>2860000</v>
      </c>
      <c r="G98" s="10">
        <f>F98-E98</f>
        <v>310000</v>
      </c>
      <c r="H98" s="209">
        <f t="shared" si="18"/>
        <v>12.156862745098039</v>
      </c>
      <c r="I98" s="1" t="s">
        <v>85</v>
      </c>
      <c r="J98" s="35" t="s">
        <v>1</v>
      </c>
      <c r="K98" s="36" t="s">
        <v>1</v>
      </c>
      <c r="L98" s="36" t="s">
        <v>1</v>
      </c>
      <c r="M98" s="37" t="s">
        <v>1</v>
      </c>
      <c r="N98" s="36" t="s">
        <v>1</v>
      </c>
      <c r="O98" s="36" t="s">
        <v>1</v>
      </c>
      <c r="P98" s="37" t="s">
        <v>1</v>
      </c>
      <c r="Q98" s="120" t="s">
        <v>1</v>
      </c>
      <c r="R98" s="120"/>
      <c r="S98" s="120"/>
      <c r="T98" s="120"/>
      <c r="U98" s="15">
        <f>SUM(U99,U100,U101,U102,U103,U104,U106,U105)</f>
        <v>2860000</v>
      </c>
    </row>
    <row r="99" spans="2:21" ht="24.95" customHeight="1">
      <c r="B99" s="98"/>
      <c r="C99" s="120"/>
      <c r="D99" s="120"/>
      <c r="E99" s="10"/>
      <c r="F99" s="10"/>
      <c r="G99" s="10">
        <f t="shared" si="17"/>
        <v>0</v>
      </c>
      <c r="H99" s="209"/>
      <c r="I99" s="1" t="s">
        <v>109</v>
      </c>
      <c r="J99" s="35">
        <v>50000</v>
      </c>
      <c r="K99" s="36" t="s">
        <v>16</v>
      </c>
      <c r="L99" s="36" t="s">
        <v>17</v>
      </c>
      <c r="M99" s="37">
        <v>1</v>
      </c>
      <c r="N99" s="36" t="s">
        <v>20</v>
      </c>
      <c r="O99" s="36" t="s">
        <v>1</v>
      </c>
      <c r="P99" s="37" t="s">
        <v>1</v>
      </c>
      <c r="Q99" s="120" t="s">
        <v>1</v>
      </c>
      <c r="R99" s="120"/>
      <c r="S99" s="120"/>
      <c r="T99" s="120"/>
      <c r="U99" s="15">
        <f>+J99*M99</f>
        <v>50000</v>
      </c>
    </row>
    <row r="100" spans="2:21" ht="24.95" customHeight="1">
      <c r="B100" s="98"/>
      <c r="C100" s="120"/>
      <c r="D100" s="120"/>
      <c r="E100" s="10"/>
      <c r="F100" s="10"/>
      <c r="G100" s="10"/>
      <c r="H100" s="209"/>
      <c r="I100" s="1" t="s">
        <v>110</v>
      </c>
      <c r="J100" s="35">
        <v>100000</v>
      </c>
      <c r="K100" s="49" t="s">
        <v>57</v>
      </c>
      <c r="L100" s="36" t="s">
        <v>17</v>
      </c>
      <c r="M100" s="37">
        <v>1</v>
      </c>
      <c r="N100" s="49" t="s">
        <v>59</v>
      </c>
      <c r="O100" s="36"/>
      <c r="P100" s="37"/>
      <c r="Q100" s="120"/>
      <c r="R100" s="120"/>
      <c r="S100" s="120"/>
      <c r="T100" s="120"/>
      <c r="U100" s="15">
        <f>+J100*M100</f>
        <v>100000</v>
      </c>
    </row>
    <row r="101" spans="2:21" ht="24.95" customHeight="1">
      <c r="B101" s="98"/>
      <c r="C101" s="120"/>
      <c r="D101" s="120"/>
      <c r="E101" s="10"/>
      <c r="F101" s="10"/>
      <c r="G101" s="10"/>
      <c r="H101" s="209"/>
      <c r="I101" s="1" t="s">
        <v>111</v>
      </c>
      <c r="J101" s="35">
        <v>10000</v>
      </c>
      <c r="K101" s="49" t="s">
        <v>57</v>
      </c>
      <c r="L101" s="36" t="s">
        <v>17</v>
      </c>
      <c r="M101" s="37">
        <v>50</v>
      </c>
      <c r="N101" s="49" t="s">
        <v>101</v>
      </c>
      <c r="O101" s="49" t="s">
        <v>348</v>
      </c>
      <c r="P101" s="37">
        <v>2</v>
      </c>
      <c r="Q101" s="107" t="s">
        <v>129</v>
      </c>
      <c r="R101" s="120"/>
      <c r="S101" s="120"/>
      <c r="T101" s="120"/>
      <c r="U101" s="15">
        <f>P101*M101*J101</f>
        <v>1000000</v>
      </c>
    </row>
    <row r="102" spans="2:21" ht="24.95" customHeight="1">
      <c r="B102" s="98"/>
      <c r="C102" s="120"/>
      <c r="D102" s="120"/>
      <c r="E102" s="10"/>
      <c r="F102" s="10"/>
      <c r="G102" s="10"/>
      <c r="H102" s="209"/>
      <c r="I102" s="1" t="s">
        <v>112</v>
      </c>
      <c r="J102" s="35">
        <v>150000</v>
      </c>
      <c r="K102" s="49" t="s">
        <v>57</v>
      </c>
      <c r="L102" s="36" t="s">
        <v>17</v>
      </c>
      <c r="M102" s="67">
        <v>4</v>
      </c>
      <c r="N102" s="36" t="s">
        <v>54</v>
      </c>
      <c r="O102" s="36"/>
      <c r="P102" s="37"/>
      <c r="Q102" s="120"/>
      <c r="R102" s="120"/>
      <c r="S102" s="120"/>
      <c r="T102" s="120"/>
      <c r="U102" s="15">
        <f>+J102*M102</f>
        <v>600000</v>
      </c>
    </row>
    <row r="103" spans="2:21" ht="24.95" customHeight="1">
      <c r="B103" s="98"/>
      <c r="C103" s="120"/>
      <c r="D103" s="120"/>
      <c r="E103" s="10"/>
      <c r="F103" s="10"/>
      <c r="G103" s="10"/>
      <c r="H103" s="209"/>
      <c r="I103" s="1" t="s">
        <v>113</v>
      </c>
      <c r="J103" s="35">
        <v>2000</v>
      </c>
      <c r="K103" s="49" t="s">
        <v>57</v>
      </c>
      <c r="L103" s="36" t="s">
        <v>17</v>
      </c>
      <c r="M103" s="37">
        <v>100</v>
      </c>
      <c r="N103" s="49" t="s">
        <v>101</v>
      </c>
      <c r="O103" s="36"/>
      <c r="P103" s="37"/>
      <c r="Q103" s="120"/>
      <c r="R103" s="120"/>
      <c r="S103" s="120"/>
      <c r="T103" s="120"/>
      <c r="U103" s="15">
        <f>+J103*M103</f>
        <v>200000</v>
      </c>
    </row>
    <row r="104" spans="2:21" ht="24.95" customHeight="1">
      <c r="B104" s="98"/>
      <c r="C104" s="120"/>
      <c r="D104" s="120"/>
      <c r="E104" s="10"/>
      <c r="F104" s="10"/>
      <c r="G104" s="10"/>
      <c r="H104" s="209"/>
      <c r="I104" s="1" t="s">
        <v>114</v>
      </c>
      <c r="J104" s="35">
        <v>110000</v>
      </c>
      <c r="K104" s="49" t="s">
        <v>117</v>
      </c>
      <c r="L104" s="36" t="s">
        <v>17</v>
      </c>
      <c r="M104" s="37">
        <v>1</v>
      </c>
      <c r="N104" s="49" t="s">
        <v>59</v>
      </c>
      <c r="O104" s="36"/>
      <c r="P104" s="37"/>
      <c r="Q104" s="120"/>
      <c r="R104" s="120"/>
      <c r="S104" s="120"/>
      <c r="T104" s="120"/>
      <c r="U104" s="15">
        <f>+J104*M104</f>
        <v>110000</v>
      </c>
    </row>
    <row r="105" spans="2:21" ht="24.95" customHeight="1">
      <c r="B105" s="98"/>
      <c r="C105" s="120"/>
      <c r="D105" s="120"/>
      <c r="E105" s="10"/>
      <c r="F105" s="10"/>
      <c r="G105" s="10"/>
      <c r="H105" s="209"/>
      <c r="I105" s="1" t="s">
        <v>115</v>
      </c>
      <c r="J105" s="35">
        <v>50000</v>
      </c>
      <c r="K105" s="49" t="s">
        <v>57</v>
      </c>
      <c r="L105" s="36" t="s">
        <v>17</v>
      </c>
      <c r="M105" s="37">
        <v>6</v>
      </c>
      <c r="N105" s="49" t="s">
        <v>59</v>
      </c>
      <c r="O105" s="36"/>
      <c r="P105" s="37"/>
      <c r="Q105" s="120"/>
      <c r="R105" s="120"/>
      <c r="S105" s="120"/>
      <c r="T105" s="120"/>
      <c r="U105" s="15">
        <f>+J105*M105</f>
        <v>300000</v>
      </c>
    </row>
    <row r="106" spans="2:21" ht="24.95" customHeight="1">
      <c r="B106" s="98"/>
      <c r="C106" s="120"/>
      <c r="D106" s="120"/>
      <c r="E106" s="10"/>
      <c r="F106" s="10"/>
      <c r="G106" s="10"/>
      <c r="H106" s="209"/>
      <c r="I106" s="1" t="s">
        <v>116</v>
      </c>
      <c r="J106" s="35">
        <v>500000</v>
      </c>
      <c r="K106" s="49" t="s">
        <v>57</v>
      </c>
      <c r="L106" s="36" t="s">
        <v>17</v>
      </c>
      <c r="M106" s="37">
        <v>1</v>
      </c>
      <c r="N106" s="49" t="s">
        <v>59</v>
      </c>
      <c r="O106" s="36"/>
      <c r="P106" s="37"/>
      <c r="Q106" s="120"/>
      <c r="R106" s="120"/>
      <c r="S106" s="120"/>
      <c r="T106" s="120"/>
      <c r="U106" s="15">
        <f>+J106*M106</f>
        <v>500000</v>
      </c>
    </row>
    <row r="107" spans="2:21" ht="24.95" customHeight="1">
      <c r="B107" s="98"/>
      <c r="C107" s="120"/>
      <c r="D107" s="107" t="s">
        <v>86</v>
      </c>
      <c r="E107" s="10">
        <v>2000000</v>
      </c>
      <c r="F107" s="10">
        <f>U107</f>
        <v>1800000</v>
      </c>
      <c r="G107" s="10">
        <f>F107-E107</f>
        <v>-200000</v>
      </c>
      <c r="H107" s="209">
        <f t="shared" ref="H107:H123" si="19">F107/E107*100-100</f>
        <v>-10</v>
      </c>
      <c r="I107" s="1" t="s">
        <v>86</v>
      </c>
      <c r="J107" s="35">
        <v>180000</v>
      </c>
      <c r="K107" s="49" t="s">
        <v>57</v>
      </c>
      <c r="L107" s="36" t="s">
        <v>17</v>
      </c>
      <c r="M107" s="37">
        <v>10</v>
      </c>
      <c r="N107" s="49" t="s">
        <v>59</v>
      </c>
      <c r="O107" s="36"/>
      <c r="P107" s="37"/>
      <c r="Q107" s="120"/>
      <c r="R107" s="120"/>
      <c r="S107" s="120"/>
      <c r="T107" s="120"/>
      <c r="U107" s="15">
        <f>J107*M107</f>
        <v>1800000</v>
      </c>
    </row>
    <row r="108" spans="2:21" ht="24.95" customHeight="1">
      <c r="B108" s="98"/>
      <c r="C108" s="120"/>
      <c r="D108" s="107" t="s">
        <v>87</v>
      </c>
      <c r="E108" s="10">
        <v>1350000</v>
      </c>
      <c r="F108" s="10">
        <f>U108</f>
        <v>1500000</v>
      </c>
      <c r="G108" s="10">
        <f>F108-E108</f>
        <v>150000</v>
      </c>
      <c r="H108" s="209">
        <f t="shared" si="19"/>
        <v>11.111111111111114</v>
      </c>
      <c r="I108" s="1" t="s">
        <v>118</v>
      </c>
      <c r="J108" s="35"/>
      <c r="K108" s="36"/>
      <c r="L108" s="36"/>
      <c r="M108" s="37"/>
      <c r="N108" s="36"/>
      <c r="O108" s="36"/>
      <c r="P108" s="37"/>
      <c r="Q108" s="120"/>
      <c r="R108" s="120"/>
      <c r="S108" s="120"/>
      <c r="T108" s="120"/>
      <c r="U108" s="15">
        <f>U109+U110+U111+U112</f>
        <v>1500000</v>
      </c>
    </row>
    <row r="109" spans="2:21" ht="24.95" customHeight="1">
      <c r="B109" s="98"/>
      <c r="C109" s="120"/>
      <c r="D109" s="107"/>
      <c r="E109" s="10"/>
      <c r="F109" s="10"/>
      <c r="G109" s="10"/>
      <c r="H109" s="209"/>
      <c r="I109" s="1" t="s">
        <v>119</v>
      </c>
      <c r="J109" s="35">
        <v>250000</v>
      </c>
      <c r="K109" s="49" t="s">
        <v>57</v>
      </c>
      <c r="L109" s="36" t="s">
        <v>17</v>
      </c>
      <c r="M109" s="37">
        <v>4</v>
      </c>
      <c r="N109" s="49" t="s">
        <v>59</v>
      </c>
      <c r="O109" s="36"/>
      <c r="P109" s="37"/>
      <c r="Q109" s="120"/>
      <c r="R109" s="120"/>
      <c r="S109" s="120"/>
      <c r="T109" s="120"/>
      <c r="U109" s="15">
        <f>M109*J109</f>
        <v>1000000</v>
      </c>
    </row>
    <row r="110" spans="2:21" ht="24.95" customHeight="1">
      <c r="B110" s="98"/>
      <c r="C110" s="120"/>
      <c r="D110" s="107"/>
      <c r="E110" s="10"/>
      <c r="F110" s="10"/>
      <c r="G110" s="10"/>
      <c r="H110" s="209"/>
      <c r="I110" s="1" t="s">
        <v>120</v>
      </c>
      <c r="J110" s="35">
        <v>50000</v>
      </c>
      <c r="K110" s="49" t="s">
        <v>57</v>
      </c>
      <c r="L110" s="36" t="s">
        <v>17</v>
      </c>
      <c r="M110" s="37">
        <v>2</v>
      </c>
      <c r="N110" s="49" t="s">
        <v>59</v>
      </c>
      <c r="O110" s="36"/>
      <c r="P110" s="37"/>
      <c r="Q110" s="120"/>
      <c r="R110" s="120"/>
      <c r="S110" s="120"/>
      <c r="T110" s="120"/>
      <c r="U110" s="15">
        <f t="shared" ref="U110:U112" si="20">M110*J110</f>
        <v>100000</v>
      </c>
    </row>
    <row r="111" spans="2:21" ht="24.95" customHeight="1">
      <c r="B111" s="98"/>
      <c r="C111" s="120"/>
      <c r="D111" s="107"/>
      <c r="E111" s="10"/>
      <c r="F111" s="10"/>
      <c r="G111" s="10"/>
      <c r="H111" s="209"/>
      <c r="I111" s="1" t="s">
        <v>121</v>
      </c>
      <c r="J111" s="35">
        <v>100000</v>
      </c>
      <c r="K111" s="49" t="s">
        <v>57</v>
      </c>
      <c r="L111" s="36" t="s">
        <v>17</v>
      </c>
      <c r="M111" s="37">
        <v>2</v>
      </c>
      <c r="N111" s="49" t="s">
        <v>59</v>
      </c>
      <c r="O111" s="36"/>
      <c r="P111" s="37"/>
      <c r="Q111" s="120"/>
      <c r="R111" s="120"/>
      <c r="S111" s="120"/>
      <c r="T111" s="120"/>
      <c r="U111" s="15">
        <f t="shared" si="20"/>
        <v>200000</v>
      </c>
    </row>
    <row r="112" spans="2:21" ht="24.95" customHeight="1">
      <c r="B112" s="98"/>
      <c r="C112" s="120"/>
      <c r="D112" s="107"/>
      <c r="E112" s="10"/>
      <c r="F112" s="10"/>
      <c r="G112" s="10"/>
      <c r="H112" s="209"/>
      <c r="I112" s="1" t="s">
        <v>122</v>
      </c>
      <c r="J112" s="35">
        <v>100000</v>
      </c>
      <c r="K112" s="49" t="s">
        <v>57</v>
      </c>
      <c r="L112" s="36" t="s">
        <v>17</v>
      </c>
      <c r="M112" s="37">
        <v>2</v>
      </c>
      <c r="N112" s="49" t="s">
        <v>56</v>
      </c>
      <c r="O112" s="36"/>
      <c r="P112" s="37"/>
      <c r="Q112" s="120"/>
      <c r="R112" s="120"/>
      <c r="S112" s="120"/>
      <c r="T112" s="120"/>
      <c r="U112" s="15">
        <f t="shared" si="20"/>
        <v>200000</v>
      </c>
    </row>
    <row r="113" spans="2:22" ht="24.95" customHeight="1">
      <c r="B113" s="98"/>
      <c r="C113" s="120"/>
      <c r="D113" s="107" t="s">
        <v>88</v>
      </c>
      <c r="E113" s="10">
        <v>250000</v>
      </c>
      <c r="F113" s="10">
        <f>U113</f>
        <v>200000</v>
      </c>
      <c r="G113" s="10">
        <f t="shared" ref="G113:G116" si="21">F113-E113</f>
        <v>-50000</v>
      </c>
      <c r="H113" s="209">
        <f t="shared" si="19"/>
        <v>-20</v>
      </c>
      <c r="I113" s="1" t="s">
        <v>123</v>
      </c>
      <c r="J113" s="35"/>
      <c r="K113" s="36"/>
      <c r="L113" s="36"/>
      <c r="M113" s="37"/>
      <c r="N113" s="36"/>
      <c r="O113" s="36"/>
      <c r="P113" s="37"/>
      <c r="Q113" s="120"/>
      <c r="R113" s="120"/>
      <c r="S113" s="120"/>
      <c r="T113" s="120"/>
      <c r="U113" s="15">
        <f>SUM(U114:U115)</f>
        <v>200000</v>
      </c>
    </row>
    <row r="114" spans="2:22" ht="24.95" customHeight="1">
      <c r="B114" s="98"/>
      <c r="C114" s="120"/>
      <c r="D114" s="107"/>
      <c r="E114" s="10"/>
      <c r="F114" s="10"/>
      <c r="G114" s="10"/>
      <c r="H114" s="209"/>
      <c r="I114" s="1" t="s">
        <v>153</v>
      </c>
      <c r="J114" s="35">
        <v>100000</v>
      </c>
      <c r="K114" s="49" t="s">
        <v>16</v>
      </c>
      <c r="L114" s="36" t="s">
        <v>17</v>
      </c>
      <c r="M114" s="37">
        <v>1</v>
      </c>
      <c r="N114" s="49" t="s">
        <v>20</v>
      </c>
      <c r="O114" s="36"/>
      <c r="P114" s="37"/>
      <c r="Q114" s="120"/>
      <c r="R114" s="120"/>
      <c r="S114" s="120"/>
      <c r="T114" s="120"/>
      <c r="U114" s="15">
        <f>J114*M114</f>
        <v>100000</v>
      </c>
    </row>
    <row r="115" spans="2:22" ht="24.95" customHeight="1">
      <c r="B115" s="98"/>
      <c r="C115" s="120"/>
      <c r="D115" s="107"/>
      <c r="E115" s="10"/>
      <c r="F115" s="10"/>
      <c r="G115" s="10"/>
      <c r="H115" s="209"/>
      <c r="I115" s="1" t="s">
        <v>154</v>
      </c>
      <c r="J115" s="35">
        <v>100000</v>
      </c>
      <c r="K115" s="49" t="s">
        <v>16</v>
      </c>
      <c r="L115" s="36" t="s">
        <v>17</v>
      </c>
      <c r="M115" s="37">
        <v>1</v>
      </c>
      <c r="N115" s="49" t="s">
        <v>20</v>
      </c>
      <c r="O115" s="36"/>
      <c r="P115" s="37"/>
      <c r="Q115" s="120"/>
      <c r="R115" s="120"/>
      <c r="S115" s="120"/>
      <c r="T115" s="120"/>
      <c r="U115" s="15">
        <f>J115*M115</f>
        <v>100000</v>
      </c>
    </row>
    <row r="116" spans="2:22" ht="24.95" customHeight="1">
      <c r="B116" s="98"/>
      <c r="C116" s="120"/>
      <c r="D116" s="107" t="s">
        <v>89</v>
      </c>
      <c r="E116" s="10">
        <v>600000</v>
      </c>
      <c r="F116" s="10">
        <f>U116</f>
        <v>600000</v>
      </c>
      <c r="G116" s="10">
        <f t="shared" si="21"/>
        <v>0</v>
      </c>
      <c r="H116" s="209">
        <f t="shared" si="19"/>
        <v>0</v>
      </c>
      <c r="I116" s="1" t="s">
        <v>124</v>
      </c>
      <c r="J116" s="35"/>
      <c r="K116" s="49"/>
      <c r="L116" s="36"/>
      <c r="M116" s="37"/>
      <c r="N116" s="36"/>
      <c r="O116" s="36"/>
      <c r="P116" s="37"/>
      <c r="Q116" s="120"/>
      <c r="R116" s="120"/>
      <c r="S116" s="120"/>
      <c r="T116" s="120"/>
      <c r="U116" s="15">
        <f>SUM(U117:U117)</f>
        <v>600000</v>
      </c>
    </row>
    <row r="117" spans="2:22" ht="24.95" customHeight="1">
      <c r="B117" s="98"/>
      <c r="C117" s="94"/>
      <c r="D117" s="225"/>
      <c r="E117" s="10"/>
      <c r="F117" s="10"/>
      <c r="G117" s="10"/>
      <c r="H117" s="209"/>
      <c r="I117" s="1" t="s">
        <v>159</v>
      </c>
      <c r="J117" s="35">
        <v>150000</v>
      </c>
      <c r="K117" s="49" t="s">
        <v>57</v>
      </c>
      <c r="L117" s="36" t="s">
        <v>17</v>
      </c>
      <c r="M117" s="37">
        <v>4</v>
      </c>
      <c r="N117" s="49" t="s">
        <v>59</v>
      </c>
      <c r="O117" s="36"/>
      <c r="P117" s="37"/>
      <c r="Q117" s="120"/>
      <c r="R117" s="120"/>
      <c r="S117" s="120"/>
      <c r="T117" s="120"/>
      <c r="U117" s="15">
        <f>J117*M117</f>
        <v>600000</v>
      </c>
    </row>
    <row r="118" spans="2:22" ht="24.95" customHeight="1">
      <c r="B118" s="65" t="s">
        <v>90</v>
      </c>
      <c r="C118" s="356" t="s">
        <v>10</v>
      </c>
      <c r="D118" s="357"/>
      <c r="E118" s="10">
        <v>489039</v>
      </c>
      <c r="F118" s="10">
        <f>U118</f>
        <v>500000</v>
      </c>
      <c r="G118" s="10">
        <f t="shared" si="17"/>
        <v>10961</v>
      </c>
      <c r="H118" s="209">
        <f t="shared" si="19"/>
        <v>2.241334535691422</v>
      </c>
      <c r="I118" s="14"/>
      <c r="J118" s="35"/>
      <c r="K118" s="36"/>
      <c r="L118" s="36"/>
      <c r="M118" s="37"/>
      <c r="N118" s="36"/>
      <c r="O118" s="36"/>
      <c r="P118" s="37"/>
      <c r="Q118" s="120"/>
      <c r="R118" s="120"/>
      <c r="S118" s="120"/>
      <c r="T118" s="120"/>
      <c r="U118" s="15">
        <f>U119</f>
        <v>500000</v>
      </c>
    </row>
    <row r="119" spans="2:22" ht="24.95" customHeight="1">
      <c r="B119" s="98"/>
      <c r="C119" s="107" t="s">
        <v>90</v>
      </c>
      <c r="D119" s="107" t="s">
        <v>9</v>
      </c>
      <c r="E119" s="10">
        <v>489039</v>
      </c>
      <c r="F119" s="10">
        <f>F120</f>
        <v>500000</v>
      </c>
      <c r="G119" s="10">
        <f t="shared" si="17"/>
        <v>10961</v>
      </c>
      <c r="H119" s="209">
        <f t="shared" si="19"/>
        <v>2.241334535691422</v>
      </c>
      <c r="I119" s="1" t="s">
        <v>188</v>
      </c>
      <c r="J119" s="35"/>
      <c r="K119" s="36"/>
      <c r="L119" s="36"/>
      <c r="M119" s="37"/>
      <c r="N119" s="36"/>
      <c r="O119" s="36"/>
      <c r="P119" s="37"/>
      <c r="Q119" s="120"/>
      <c r="R119" s="120"/>
      <c r="S119" s="120"/>
      <c r="T119" s="120"/>
      <c r="U119" s="15">
        <f>U120</f>
        <v>500000</v>
      </c>
    </row>
    <row r="120" spans="2:22" ht="24.95" customHeight="1">
      <c r="B120" s="98"/>
      <c r="C120" s="120"/>
      <c r="D120" s="107" t="s">
        <v>90</v>
      </c>
      <c r="E120" s="10">
        <v>489039</v>
      </c>
      <c r="F120" s="10">
        <f>U120</f>
        <v>500000</v>
      </c>
      <c r="G120" s="10">
        <f t="shared" si="17"/>
        <v>10961</v>
      </c>
      <c r="H120" s="209">
        <f t="shared" si="19"/>
        <v>2.241334535691422</v>
      </c>
      <c r="I120" s="1" t="s">
        <v>95</v>
      </c>
      <c r="J120" s="35">
        <v>500000</v>
      </c>
      <c r="K120" s="36" t="s">
        <v>16</v>
      </c>
      <c r="L120" s="36" t="s">
        <v>17</v>
      </c>
      <c r="M120" s="37">
        <v>1</v>
      </c>
      <c r="N120" s="36" t="s">
        <v>20</v>
      </c>
      <c r="O120" s="36" t="s">
        <v>1</v>
      </c>
      <c r="P120" s="37" t="s">
        <v>1</v>
      </c>
      <c r="Q120" s="120" t="s">
        <v>1</v>
      </c>
      <c r="R120" s="120"/>
      <c r="S120" s="120"/>
      <c r="T120" s="120"/>
      <c r="U120" s="15">
        <f>J120</f>
        <v>500000</v>
      </c>
      <c r="V120" s="3">
        <f>J120+F2</f>
        <v>500000</v>
      </c>
    </row>
    <row r="121" spans="2:22" ht="24.95" customHeight="1">
      <c r="B121" s="65" t="s">
        <v>92</v>
      </c>
      <c r="C121" s="356" t="s">
        <v>79</v>
      </c>
      <c r="D121" s="357"/>
      <c r="E121" s="10">
        <v>324711</v>
      </c>
      <c r="F121" s="10">
        <f>U121</f>
        <v>347440</v>
      </c>
      <c r="G121" s="10">
        <f t="shared" ref="G121:G124" si="22">F121-E121</f>
        <v>22729</v>
      </c>
      <c r="H121" s="209">
        <f t="shared" si="19"/>
        <v>6.9997628660562867</v>
      </c>
      <c r="I121" s="14"/>
      <c r="J121" s="35"/>
      <c r="K121" s="36"/>
      <c r="L121" s="36"/>
      <c r="M121" s="37"/>
      <c r="N121" s="36"/>
      <c r="O121" s="36"/>
      <c r="P121" s="37"/>
      <c r="Q121" s="120"/>
      <c r="R121" s="120"/>
      <c r="S121" s="120"/>
      <c r="T121" s="120"/>
      <c r="U121" s="15">
        <f>U122</f>
        <v>347440</v>
      </c>
    </row>
    <row r="122" spans="2:22" ht="24.95" customHeight="1">
      <c r="B122" s="98"/>
      <c r="C122" s="107" t="s">
        <v>92</v>
      </c>
      <c r="D122" s="107" t="s">
        <v>69</v>
      </c>
      <c r="E122" s="10">
        <v>324711</v>
      </c>
      <c r="F122" s="10">
        <f>SUM(F123,F124,F125)</f>
        <v>347440</v>
      </c>
      <c r="G122" s="10">
        <f t="shared" si="22"/>
        <v>22729</v>
      </c>
      <c r="H122" s="209">
        <f t="shared" si="19"/>
        <v>6.9997628660562867</v>
      </c>
      <c r="I122" s="1" t="s">
        <v>96</v>
      </c>
      <c r="J122" s="35"/>
      <c r="K122" s="36"/>
      <c r="L122" s="36"/>
      <c r="M122" s="37"/>
      <c r="N122" s="36"/>
      <c r="O122" s="36"/>
      <c r="P122" s="37"/>
      <c r="Q122" s="120"/>
      <c r="R122" s="120"/>
      <c r="S122" s="120"/>
      <c r="T122" s="120"/>
      <c r="U122" s="15">
        <f>SUM(U123,U124,U125)</f>
        <v>347440</v>
      </c>
    </row>
    <row r="123" spans="2:22" ht="24.95" customHeight="1">
      <c r="B123" s="98"/>
      <c r="C123" s="70"/>
      <c r="D123" s="107" t="s">
        <v>91</v>
      </c>
      <c r="E123" s="212">
        <v>291180</v>
      </c>
      <c r="F123" s="212">
        <f>U123</f>
        <v>307440</v>
      </c>
      <c r="G123" s="10">
        <f t="shared" si="22"/>
        <v>16260</v>
      </c>
      <c r="H123" s="209">
        <f t="shared" si="19"/>
        <v>5.5841747372759016</v>
      </c>
      <c r="I123" s="1" t="s">
        <v>223</v>
      </c>
      <c r="J123" s="35">
        <v>307440</v>
      </c>
      <c r="K123" s="36" t="s">
        <v>16</v>
      </c>
      <c r="L123" s="36" t="s">
        <v>17</v>
      </c>
      <c r="M123" s="37">
        <v>1</v>
      </c>
      <c r="N123" s="36" t="s">
        <v>20</v>
      </c>
      <c r="O123" s="36" t="s">
        <v>1</v>
      </c>
      <c r="P123" s="37" t="s">
        <v>1</v>
      </c>
      <c r="Q123" s="120" t="s">
        <v>1</v>
      </c>
      <c r="R123" s="120"/>
      <c r="S123" s="120"/>
      <c r="T123" s="120"/>
      <c r="U123" s="15">
        <f>J123*M123</f>
        <v>307440</v>
      </c>
      <c r="V123" s="3">
        <f>U123+531</f>
        <v>307971</v>
      </c>
    </row>
    <row r="124" spans="2:22" ht="24.95" customHeight="1">
      <c r="B124" s="98"/>
      <c r="C124" s="120"/>
      <c r="D124" s="107" t="s">
        <v>93</v>
      </c>
      <c r="E124" s="10">
        <v>17531</v>
      </c>
      <c r="F124" s="10">
        <f>U124</f>
        <v>20000</v>
      </c>
      <c r="G124" s="10">
        <f t="shared" si="22"/>
        <v>2469</v>
      </c>
      <c r="H124" s="209">
        <f>F124/E124*100-100</f>
        <v>14.083623295875867</v>
      </c>
      <c r="I124" s="1" t="s">
        <v>97</v>
      </c>
      <c r="J124" s="35">
        <v>20000</v>
      </c>
      <c r="K124" s="36" t="s">
        <v>16</v>
      </c>
      <c r="L124" s="36" t="s">
        <v>17</v>
      </c>
      <c r="M124" s="37">
        <v>1</v>
      </c>
      <c r="N124" s="36" t="s">
        <v>20</v>
      </c>
      <c r="O124" s="36" t="s">
        <v>1</v>
      </c>
      <c r="P124" s="37" t="s">
        <v>1</v>
      </c>
      <c r="Q124" s="120" t="s">
        <v>1</v>
      </c>
      <c r="R124" s="120"/>
      <c r="S124" s="120"/>
      <c r="T124" s="120"/>
      <c r="U124" s="15">
        <f>J124*M124</f>
        <v>20000</v>
      </c>
    </row>
    <row r="125" spans="2:22" ht="24.95" customHeight="1" thickBot="1">
      <c r="B125" s="43"/>
      <c r="C125" s="41"/>
      <c r="D125" s="68" t="s">
        <v>94</v>
      </c>
      <c r="E125" s="44">
        <v>16000</v>
      </c>
      <c r="F125" s="44">
        <f>U125</f>
        <v>20000</v>
      </c>
      <c r="G125" s="44">
        <f t="shared" ref="G125" si="23">F125-E125</f>
        <v>4000</v>
      </c>
      <c r="H125" s="210">
        <v>0</v>
      </c>
      <c r="I125" s="69" t="s">
        <v>98</v>
      </c>
      <c r="J125" s="45">
        <v>20000</v>
      </c>
      <c r="K125" s="46" t="s">
        <v>16</v>
      </c>
      <c r="L125" s="46" t="s">
        <v>17</v>
      </c>
      <c r="M125" s="47">
        <v>1</v>
      </c>
      <c r="N125" s="46" t="s">
        <v>20</v>
      </c>
      <c r="O125" s="46" t="s">
        <v>1</v>
      </c>
      <c r="P125" s="47" t="s">
        <v>1</v>
      </c>
      <c r="Q125" s="41" t="s">
        <v>1</v>
      </c>
      <c r="R125" s="41"/>
      <c r="S125" s="41"/>
      <c r="T125" s="41"/>
      <c r="U125" s="48">
        <f>J125*M125</f>
        <v>20000</v>
      </c>
    </row>
    <row r="126" spans="2:22" ht="18" customHeight="1">
      <c r="D126" s="5"/>
      <c r="E126" s="16"/>
      <c r="F126" s="16"/>
      <c r="G126" s="16"/>
      <c r="H126" s="6"/>
    </row>
    <row r="127" spans="2:22" ht="18" customHeight="1">
      <c r="D127" s="5"/>
      <c r="E127" s="16"/>
      <c r="F127" s="16"/>
      <c r="G127" s="16"/>
      <c r="H127" s="6"/>
      <c r="I127" s="5" t="s">
        <v>41</v>
      </c>
      <c r="J127" s="5" t="s">
        <v>1</v>
      </c>
    </row>
    <row r="128" spans="2:22" ht="18" customHeight="1">
      <c r="J128" s="31"/>
    </row>
  </sheetData>
  <mergeCells count="13">
    <mergeCell ref="C118:D118"/>
    <mergeCell ref="C121:D121"/>
    <mergeCell ref="C62:D62"/>
    <mergeCell ref="C58:D58"/>
    <mergeCell ref="I3:U4"/>
    <mergeCell ref="B5:D5"/>
    <mergeCell ref="C6:D6"/>
    <mergeCell ref="B3:B4"/>
    <mergeCell ref="C3:C4"/>
    <mergeCell ref="D3:D4"/>
    <mergeCell ref="F3:F4"/>
    <mergeCell ref="E3:E4"/>
    <mergeCell ref="G3:H3"/>
  </mergeCells>
  <phoneticPr fontId="2" type="noConversion"/>
  <printOptions horizontalCentered="1"/>
  <pageMargins left="0.15748031496062992" right="0.15748031496062992" top="0.19685039370078741" bottom="0.39370078740157483" header="0.19685039370078741" footer="0"/>
  <pageSetup paperSize="9" scale="68" fitToHeight="0" orientation="landscape" horizontalDpi="300" verticalDpi="300" r:id="rId1"/>
  <headerFooter alignWithMargins="0"/>
  <rowBreaks count="3" manualBreakCount="3">
    <brk id="32" min="1" max="20" man="1"/>
    <brk id="61" min="1" max="20" man="1"/>
    <brk id="90" min="1" max="2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G49"/>
  <sheetViews>
    <sheetView view="pageBreakPreview" zoomScaleSheetLayoutView="100" workbookViewId="0">
      <selection activeCell="G50" sqref="G50"/>
    </sheetView>
  </sheetViews>
  <sheetFormatPr defaultRowHeight="13.5"/>
  <cols>
    <col min="1" max="1" width="10.5546875" customWidth="1"/>
    <col min="2" max="2" width="12.33203125" customWidth="1"/>
    <col min="3" max="3" width="13.88671875" customWidth="1"/>
    <col min="4" max="6" width="11.44140625" customWidth="1"/>
    <col min="7" max="7" width="47.77734375" customWidth="1"/>
    <col min="257" max="257" width="11.21875" customWidth="1"/>
    <col min="258" max="258" width="11.6640625" customWidth="1"/>
    <col min="259" max="259" width="12.5546875" customWidth="1"/>
    <col min="260" max="262" width="11.44140625" customWidth="1"/>
    <col min="263" max="263" width="48" customWidth="1"/>
    <col min="513" max="513" width="11.21875" customWidth="1"/>
    <col min="514" max="514" width="11.6640625" customWidth="1"/>
    <col min="515" max="515" width="12.5546875" customWidth="1"/>
    <col min="516" max="518" width="11.44140625" customWidth="1"/>
    <col min="519" max="519" width="48" customWidth="1"/>
    <col min="769" max="769" width="11.21875" customWidth="1"/>
    <col min="770" max="770" width="11.6640625" customWidth="1"/>
    <col min="771" max="771" width="12.5546875" customWidth="1"/>
    <col min="772" max="774" width="11.44140625" customWidth="1"/>
    <col min="775" max="775" width="48" customWidth="1"/>
    <col min="1025" max="1025" width="11.21875" customWidth="1"/>
    <col min="1026" max="1026" width="11.6640625" customWidth="1"/>
    <col min="1027" max="1027" width="12.5546875" customWidth="1"/>
    <col min="1028" max="1030" width="11.44140625" customWidth="1"/>
    <col min="1031" max="1031" width="48" customWidth="1"/>
    <col min="1281" max="1281" width="11.21875" customWidth="1"/>
    <col min="1282" max="1282" width="11.6640625" customWidth="1"/>
    <col min="1283" max="1283" width="12.5546875" customWidth="1"/>
    <col min="1284" max="1286" width="11.44140625" customWidth="1"/>
    <col min="1287" max="1287" width="48" customWidth="1"/>
    <col min="1537" max="1537" width="11.21875" customWidth="1"/>
    <col min="1538" max="1538" width="11.6640625" customWidth="1"/>
    <col min="1539" max="1539" width="12.5546875" customWidth="1"/>
    <col min="1540" max="1542" width="11.44140625" customWidth="1"/>
    <col min="1543" max="1543" width="48" customWidth="1"/>
    <col min="1793" max="1793" width="11.21875" customWidth="1"/>
    <col min="1794" max="1794" width="11.6640625" customWidth="1"/>
    <col min="1795" max="1795" width="12.5546875" customWidth="1"/>
    <col min="1796" max="1798" width="11.44140625" customWidth="1"/>
    <col min="1799" max="1799" width="48" customWidth="1"/>
    <col min="2049" max="2049" width="11.21875" customWidth="1"/>
    <col min="2050" max="2050" width="11.6640625" customWidth="1"/>
    <col min="2051" max="2051" width="12.5546875" customWidth="1"/>
    <col min="2052" max="2054" width="11.44140625" customWidth="1"/>
    <col min="2055" max="2055" width="48" customWidth="1"/>
    <col min="2305" max="2305" width="11.21875" customWidth="1"/>
    <col min="2306" max="2306" width="11.6640625" customWidth="1"/>
    <col min="2307" max="2307" width="12.5546875" customWidth="1"/>
    <col min="2308" max="2310" width="11.44140625" customWidth="1"/>
    <col min="2311" max="2311" width="48" customWidth="1"/>
    <col min="2561" max="2561" width="11.21875" customWidth="1"/>
    <col min="2562" max="2562" width="11.6640625" customWidth="1"/>
    <col min="2563" max="2563" width="12.5546875" customWidth="1"/>
    <col min="2564" max="2566" width="11.44140625" customWidth="1"/>
    <col min="2567" max="2567" width="48" customWidth="1"/>
    <col min="2817" max="2817" width="11.21875" customWidth="1"/>
    <col min="2818" max="2818" width="11.6640625" customWidth="1"/>
    <col min="2819" max="2819" width="12.5546875" customWidth="1"/>
    <col min="2820" max="2822" width="11.44140625" customWidth="1"/>
    <col min="2823" max="2823" width="48" customWidth="1"/>
    <col min="3073" max="3073" width="11.21875" customWidth="1"/>
    <col min="3074" max="3074" width="11.6640625" customWidth="1"/>
    <col min="3075" max="3075" width="12.5546875" customWidth="1"/>
    <col min="3076" max="3078" width="11.44140625" customWidth="1"/>
    <col min="3079" max="3079" width="48" customWidth="1"/>
    <col min="3329" max="3329" width="11.21875" customWidth="1"/>
    <col min="3330" max="3330" width="11.6640625" customWidth="1"/>
    <col min="3331" max="3331" width="12.5546875" customWidth="1"/>
    <col min="3332" max="3334" width="11.44140625" customWidth="1"/>
    <col min="3335" max="3335" width="48" customWidth="1"/>
    <col min="3585" max="3585" width="11.21875" customWidth="1"/>
    <col min="3586" max="3586" width="11.6640625" customWidth="1"/>
    <col min="3587" max="3587" width="12.5546875" customWidth="1"/>
    <col min="3588" max="3590" width="11.44140625" customWidth="1"/>
    <col min="3591" max="3591" width="48" customWidth="1"/>
    <col min="3841" max="3841" width="11.21875" customWidth="1"/>
    <col min="3842" max="3842" width="11.6640625" customWidth="1"/>
    <col min="3843" max="3843" width="12.5546875" customWidth="1"/>
    <col min="3844" max="3846" width="11.44140625" customWidth="1"/>
    <col min="3847" max="3847" width="48" customWidth="1"/>
    <col min="4097" max="4097" width="11.21875" customWidth="1"/>
    <col min="4098" max="4098" width="11.6640625" customWidth="1"/>
    <col min="4099" max="4099" width="12.5546875" customWidth="1"/>
    <col min="4100" max="4102" width="11.44140625" customWidth="1"/>
    <col min="4103" max="4103" width="48" customWidth="1"/>
    <col min="4353" max="4353" width="11.21875" customWidth="1"/>
    <col min="4354" max="4354" width="11.6640625" customWidth="1"/>
    <col min="4355" max="4355" width="12.5546875" customWidth="1"/>
    <col min="4356" max="4358" width="11.44140625" customWidth="1"/>
    <col min="4359" max="4359" width="48" customWidth="1"/>
    <col min="4609" max="4609" width="11.21875" customWidth="1"/>
    <col min="4610" max="4610" width="11.6640625" customWidth="1"/>
    <col min="4611" max="4611" width="12.5546875" customWidth="1"/>
    <col min="4612" max="4614" width="11.44140625" customWidth="1"/>
    <col min="4615" max="4615" width="48" customWidth="1"/>
    <col min="4865" max="4865" width="11.21875" customWidth="1"/>
    <col min="4866" max="4866" width="11.6640625" customWidth="1"/>
    <col min="4867" max="4867" width="12.5546875" customWidth="1"/>
    <col min="4868" max="4870" width="11.44140625" customWidth="1"/>
    <col min="4871" max="4871" width="48" customWidth="1"/>
    <col min="5121" max="5121" width="11.21875" customWidth="1"/>
    <col min="5122" max="5122" width="11.6640625" customWidth="1"/>
    <col min="5123" max="5123" width="12.5546875" customWidth="1"/>
    <col min="5124" max="5126" width="11.44140625" customWidth="1"/>
    <col min="5127" max="5127" width="48" customWidth="1"/>
    <col min="5377" max="5377" width="11.21875" customWidth="1"/>
    <col min="5378" max="5378" width="11.6640625" customWidth="1"/>
    <col min="5379" max="5379" width="12.5546875" customWidth="1"/>
    <col min="5380" max="5382" width="11.44140625" customWidth="1"/>
    <col min="5383" max="5383" width="48" customWidth="1"/>
    <col min="5633" max="5633" width="11.21875" customWidth="1"/>
    <col min="5634" max="5634" width="11.6640625" customWidth="1"/>
    <col min="5635" max="5635" width="12.5546875" customWidth="1"/>
    <col min="5636" max="5638" width="11.44140625" customWidth="1"/>
    <col min="5639" max="5639" width="48" customWidth="1"/>
    <col min="5889" max="5889" width="11.21875" customWidth="1"/>
    <col min="5890" max="5890" width="11.6640625" customWidth="1"/>
    <col min="5891" max="5891" width="12.5546875" customWidth="1"/>
    <col min="5892" max="5894" width="11.44140625" customWidth="1"/>
    <col min="5895" max="5895" width="48" customWidth="1"/>
    <col min="6145" max="6145" width="11.21875" customWidth="1"/>
    <col min="6146" max="6146" width="11.6640625" customWidth="1"/>
    <col min="6147" max="6147" width="12.5546875" customWidth="1"/>
    <col min="6148" max="6150" width="11.44140625" customWidth="1"/>
    <col min="6151" max="6151" width="48" customWidth="1"/>
    <col min="6401" max="6401" width="11.21875" customWidth="1"/>
    <col min="6402" max="6402" width="11.6640625" customWidth="1"/>
    <col min="6403" max="6403" width="12.5546875" customWidth="1"/>
    <col min="6404" max="6406" width="11.44140625" customWidth="1"/>
    <col min="6407" max="6407" width="48" customWidth="1"/>
    <col min="6657" max="6657" width="11.21875" customWidth="1"/>
    <col min="6658" max="6658" width="11.6640625" customWidth="1"/>
    <col min="6659" max="6659" width="12.5546875" customWidth="1"/>
    <col min="6660" max="6662" width="11.44140625" customWidth="1"/>
    <col min="6663" max="6663" width="48" customWidth="1"/>
    <col min="6913" max="6913" width="11.21875" customWidth="1"/>
    <col min="6914" max="6914" width="11.6640625" customWidth="1"/>
    <col min="6915" max="6915" width="12.5546875" customWidth="1"/>
    <col min="6916" max="6918" width="11.44140625" customWidth="1"/>
    <col min="6919" max="6919" width="48" customWidth="1"/>
    <col min="7169" max="7169" width="11.21875" customWidth="1"/>
    <col min="7170" max="7170" width="11.6640625" customWidth="1"/>
    <col min="7171" max="7171" width="12.5546875" customWidth="1"/>
    <col min="7172" max="7174" width="11.44140625" customWidth="1"/>
    <col min="7175" max="7175" width="48" customWidth="1"/>
    <col min="7425" max="7425" width="11.21875" customWidth="1"/>
    <col min="7426" max="7426" width="11.6640625" customWidth="1"/>
    <col min="7427" max="7427" width="12.5546875" customWidth="1"/>
    <col min="7428" max="7430" width="11.44140625" customWidth="1"/>
    <col min="7431" max="7431" width="48" customWidth="1"/>
    <col min="7681" max="7681" width="11.21875" customWidth="1"/>
    <col min="7682" max="7682" width="11.6640625" customWidth="1"/>
    <col min="7683" max="7683" width="12.5546875" customWidth="1"/>
    <col min="7684" max="7686" width="11.44140625" customWidth="1"/>
    <col min="7687" max="7687" width="48" customWidth="1"/>
    <col min="7937" max="7937" width="11.21875" customWidth="1"/>
    <col min="7938" max="7938" width="11.6640625" customWidth="1"/>
    <col min="7939" max="7939" width="12.5546875" customWidth="1"/>
    <col min="7940" max="7942" width="11.44140625" customWidth="1"/>
    <col min="7943" max="7943" width="48" customWidth="1"/>
    <col min="8193" max="8193" width="11.21875" customWidth="1"/>
    <col min="8194" max="8194" width="11.6640625" customWidth="1"/>
    <col min="8195" max="8195" width="12.5546875" customWidth="1"/>
    <col min="8196" max="8198" width="11.44140625" customWidth="1"/>
    <col min="8199" max="8199" width="48" customWidth="1"/>
    <col min="8449" max="8449" width="11.21875" customWidth="1"/>
    <col min="8450" max="8450" width="11.6640625" customWidth="1"/>
    <col min="8451" max="8451" width="12.5546875" customWidth="1"/>
    <col min="8452" max="8454" width="11.44140625" customWidth="1"/>
    <col min="8455" max="8455" width="48" customWidth="1"/>
    <col min="8705" max="8705" width="11.21875" customWidth="1"/>
    <col min="8706" max="8706" width="11.6640625" customWidth="1"/>
    <col min="8707" max="8707" width="12.5546875" customWidth="1"/>
    <col min="8708" max="8710" width="11.44140625" customWidth="1"/>
    <col min="8711" max="8711" width="48" customWidth="1"/>
    <col min="8961" max="8961" width="11.21875" customWidth="1"/>
    <col min="8962" max="8962" width="11.6640625" customWidth="1"/>
    <col min="8963" max="8963" width="12.5546875" customWidth="1"/>
    <col min="8964" max="8966" width="11.44140625" customWidth="1"/>
    <col min="8967" max="8967" width="48" customWidth="1"/>
    <col min="9217" max="9217" width="11.21875" customWidth="1"/>
    <col min="9218" max="9218" width="11.6640625" customWidth="1"/>
    <col min="9219" max="9219" width="12.5546875" customWidth="1"/>
    <col min="9220" max="9222" width="11.44140625" customWidth="1"/>
    <col min="9223" max="9223" width="48" customWidth="1"/>
    <col min="9473" max="9473" width="11.21875" customWidth="1"/>
    <col min="9474" max="9474" width="11.6640625" customWidth="1"/>
    <col min="9475" max="9475" width="12.5546875" customWidth="1"/>
    <col min="9476" max="9478" width="11.44140625" customWidth="1"/>
    <col min="9479" max="9479" width="48" customWidth="1"/>
    <col min="9729" max="9729" width="11.21875" customWidth="1"/>
    <col min="9730" max="9730" width="11.6640625" customWidth="1"/>
    <col min="9731" max="9731" width="12.5546875" customWidth="1"/>
    <col min="9732" max="9734" width="11.44140625" customWidth="1"/>
    <col min="9735" max="9735" width="48" customWidth="1"/>
    <col min="9985" max="9985" width="11.21875" customWidth="1"/>
    <col min="9986" max="9986" width="11.6640625" customWidth="1"/>
    <col min="9987" max="9987" width="12.5546875" customWidth="1"/>
    <col min="9988" max="9990" width="11.44140625" customWidth="1"/>
    <col min="9991" max="9991" width="48" customWidth="1"/>
    <col min="10241" max="10241" width="11.21875" customWidth="1"/>
    <col min="10242" max="10242" width="11.6640625" customWidth="1"/>
    <col min="10243" max="10243" width="12.5546875" customWidth="1"/>
    <col min="10244" max="10246" width="11.44140625" customWidth="1"/>
    <col min="10247" max="10247" width="48" customWidth="1"/>
    <col min="10497" max="10497" width="11.21875" customWidth="1"/>
    <col min="10498" max="10498" width="11.6640625" customWidth="1"/>
    <col min="10499" max="10499" width="12.5546875" customWidth="1"/>
    <col min="10500" max="10502" width="11.44140625" customWidth="1"/>
    <col min="10503" max="10503" width="48" customWidth="1"/>
    <col min="10753" max="10753" width="11.21875" customWidth="1"/>
    <col min="10754" max="10754" width="11.6640625" customWidth="1"/>
    <col min="10755" max="10755" width="12.5546875" customWidth="1"/>
    <col min="10756" max="10758" width="11.44140625" customWidth="1"/>
    <col min="10759" max="10759" width="48" customWidth="1"/>
    <col min="11009" max="11009" width="11.21875" customWidth="1"/>
    <col min="11010" max="11010" width="11.6640625" customWidth="1"/>
    <col min="11011" max="11011" width="12.5546875" customWidth="1"/>
    <col min="11012" max="11014" width="11.44140625" customWidth="1"/>
    <col min="11015" max="11015" width="48" customWidth="1"/>
    <col min="11265" max="11265" width="11.21875" customWidth="1"/>
    <col min="11266" max="11266" width="11.6640625" customWidth="1"/>
    <col min="11267" max="11267" width="12.5546875" customWidth="1"/>
    <col min="11268" max="11270" width="11.44140625" customWidth="1"/>
    <col min="11271" max="11271" width="48" customWidth="1"/>
    <col min="11521" max="11521" width="11.21875" customWidth="1"/>
    <col min="11522" max="11522" width="11.6640625" customWidth="1"/>
    <col min="11523" max="11523" width="12.5546875" customWidth="1"/>
    <col min="11524" max="11526" width="11.44140625" customWidth="1"/>
    <col min="11527" max="11527" width="48" customWidth="1"/>
    <col min="11777" max="11777" width="11.21875" customWidth="1"/>
    <col min="11778" max="11778" width="11.6640625" customWidth="1"/>
    <col min="11779" max="11779" width="12.5546875" customWidth="1"/>
    <col min="11780" max="11782" width="11.44140625" customWidth="1"/>
    <col min="11783" max="11783" width="48" customWidth="1"/>
    <col min="12033" max="12033" width="11.21875" customWidth="1"/>
    <col min="12034" max="12034" width="11.6640625" customWidth="1"/>
    <col min="12035" max="12035" width="12.5546875" customWidth="1"/>
    <col min="12036" max="12038" width="11.44140625" customWidth="1"/>
    <col min="12039" max="12039" width="48" customWidth="1"/>
    <col min="12289" max="12289" width="11.21875" customWidth="1"/>
    <col min="12290" max="12290" width="11.6640625" customWidth="1"/>
    <col min="12291" max="12291" width="12.5546875" customWidth="1"/>
    <col min="12292" max="12294" width="11.44140625" customWidth="1"/>
    <col min="12295" max="12295" width="48" customWidth="1"/>
    <col min="12545" max="12545" width="11.21875" customWidth="1"/>
    <col min="12546" max="12546" width="11.6640625" customWidth="1"/>
    <col min="12547" max="12547" width="12.5546875" customWidth="1"/>
    <col min="12548" max="12550" width="11.44140625" customWidth="1"/>
    <col min="12551" max="12551" width="48" customWidth="1"/>
    <col min="12801" max="12801" width="11.21875" customWidth="1"/>
    <col min="12802" max="12802" width="11.6640625" customWidth="1"/>
    <col min="12803" max="12803" width="12.5546875" customWidth="1"/>
    <col min="12804" max="12806" width="11.44140625" customWidth="1"/>
    <col min="12807" max="12807" width="48" customWidth="1"/>
    <col min="13057" max="13057" width="11.21875" customWidth="1"/>
    <col min="13058" max="13058" width="11.6640625" customWidth="1"/>
    <col min="13059" max="13059" width="12.5546875" customWidth="1"/>
    <col min="13060" max="13062" width="11.44140625" customWidth="1"/>
    <col min="13063" max="13063" width="48" customWidth="1"/>
    <col min="13313" max="13313" width="11.21875" customWidth="1"/>
    <col min="13314" max="13314" width="11.6640625" customWidth="1"/>
    <col min="13315" max="13315" width="12.5546875" customWidth="1"/>
    <col min="13316" max="13318" width="11.44140625" customWidth="1"/>
    <col min="13319" max="13319" width="48" customWidth="1"/>
    <col min="13569" max="13569" width="11.21875" customWidth="1"/>
    <col min="13570" max="13570" width="11.6640625" customWidth="1"/>
    <col min="13571" max="13571" width="12.5546875" customWidth="1"/>
    <col min="13572" max="13574" width="11.44140625" customWidth="1"/>
    <col min="13575" max="13575" width="48" customWidth="1"/>
    <col min="13825" max="13825" width="11.21875" customWidth="1"/>
    <col min="13826" max="13826" width="11.6640625" customWidth="1"/>
    <col min="13827" max="13827" width="12.5546875" customWidth="1"/>
    <col min="13828" max="13830" width="11.44140625" customWidth="1"/>
    <col min="13831" max="13831" width="48" customWidth="1"/>
    <col min="14081" max="14081" width="11.21875" customWidth="1"/>
    <col min="14082" max="14082" width="11.6640625" customWidth="1"/>
    <col min="14083" max="14083" width="12.5546875" customWidth="1"/>
    <col min="14084" max="14086" width="11.44140625" customWidth="1"/>
    <col min="14087" max="14087" width="48" customWidth="1"/>
    <col min="14337" max="14337" width="11.21875" customWidth="1"/>
    <col min="14338" max="14338" width="11.6640625" customWidth="1"/>
    <col min="14339" max="14339" width="12.5546875" customWidth="1"/>
    <col min="14340" max="14342" width="11.44140625" customWidth="1"/>
    <col min="14343" max="14343" width="48" customWidth="1"/>
    <col min="14593" max="14593" width="11.21875" customWidth="1"/>
    <col min="14594" max="14594" width="11.6640625" customWidth="1"/>
    <col min="14595" max="14595" width="12.5546875" customWidth="1"/>
    <col min="14596" max="14598" width="11.44140625" customWidth="1"/>
    <col min="14599" max="14599" width="48" customWidth="1"/>
    <col min="14849" max="14849" width="11.21875" customWidth="1"/>
    <col min="14850" max="14850" width="11.6640625" customWidth="1"/>
    <col min="14851" max="14851" width="12.5546875" customWidth="1"/>
    <col min="14852" max="14854" width="11.44140625" customWidth="1"/>
    <col min="14855" max="14855" width="48" customWidth="1"/>
    <col min="15105" max="15105" width="11.21875" customWidth="1"/>
    <col min="15106" max="15106" width="11.6640625" customWidth="1"/>
    <col min="15107" max="15107" width="12.5546875" customWidth="1"/>
    <col min="15108" max="15110" width="11.44140625" customWidth="1"/>
    <col min="15111" max="15111" width="48" customWidth="1"/>
    <col min="15361" max="15361" width="11.21875" customWidth="1"/>
    <col min="15362" max="15362" width="11.6640625" customWidth="1"/>
    <col min="15363" max="15363" width="12.5546875" customWidth="1"/>
    <col min="15364" max="15366" width="11.44140625" customWidth="1"/>
    <col min="15367" max="15367" width="48" customWidth="1"/>
    <col min="15617" max="15617" width="11.21875" customWidth="1"/>
    <col min="15618" max="15618" width="11.6640625" customWidth="1"/>
    <col min="15619" max="15619" width="12.5546875" customWidth="1"/>
    <col min="15620" max="15622" width="11.44140625" customWidth="1"/>
    <col min="15623" max="15623" width="48" customWidth="1"/>
    <col min="15873" max="15873" width="11.21875" customWidth="1"/>
    <col min="15874" max="15874" width="11.6640625" customWidth="1"/>
    <col min="15875" max="15875" width="12.5546875" customWidth="1"/>
    <col min="15876" max="15878" width="11.44140625" customWidth="1"/>
    <col min="15879" max="15879" width="48" customWidth="1"/>
    <col min="16129" max="16129" width="11.21875" customWidth="1"/>
    <col min="16130" max="16130" width="11.6640625" customWidth="1"/>
    <col min="16131" max="16131" width="12.5546875" customWidth="1"/>
    <col min="16132" max="16134" width="11.44140625" customWidth="1"/>
    <col min="16135" max="16135" width="48" customWidth="1"/>
  </cols>
  <sheetData>
    <row r="1" spans="1:7" ht="26.25">
      <c r="A1" s="366" t="s">
        <v>339</v>
      </c>
      <c r="B1" s="366"/>
      <c r="C1" s="366"/>
      <c r="D1" s="366"/>
      <c r="E1" s="366"/>
      <c r="F1" s="366"/>
      <c r="G1" s="366"/>
    </row>
    <row r="2" spans="1:7" ht="17.25" customHeight="1" thickBot="1">
      <c r="A2" s="79" t="s">
        <v>160</v>
      </c>
      <c r="B2" s="80"/>
      <c r="C2" s="81"/>
      <c r="D2" s="82"/>
      <c r="E2" s="83"/>
      <c r="F2" s="82"/>
      <c r="G2" s="80"/>
    </row>
    <row r="3" spans="1:7" ht="18" customHeight="1">
      <c r="A3" s="87" t="s">
        <v>161</v>
      </c>
      <c r="B3" s="88" t="s">
        <v>3</v>
      </c>
      <c r="C3" s="88" t="s">
        <v>4</v>
      </c>
      <c r="D3" s="89" t="s">
        <v>326</v>
      </c>
      <c r="E3" s="89" t="s">
        <v>327</v>
      </c>
      <c r="F3" s="89" t="s">
        <v>162</v>
      </c>
      <c r="G3" s="90" t="s">
        <v>163</v>
      </c>
    </row>
    <row r="4" spans="1:7" ht="18" customHeight="1">
      <c r="A4" s="367" t="s">
        <v>164</v>
      </c>
      <c r="B4" s="368"/>
      <c r="C4" s="369"/>
      <c r="D4" s="181">
        <f>SUM(D5:D11)</f>
        <v>153650000</v>
      </c>
      <c r="E4" s="181">
        <f>SUM(E5:E11)</f>
        <v>158750000</v>
      </c>
      <c r="F4" s="182">
        <f t="shared" ref="F4" si="0">E4-D4</f>
        <v>5100000</v>
      </c>
      <c r="G4" s="92"/>
    </row>
    <row r="5" spans="1:7" ht="18" customHeight="1">
      <c r="A5" s="117" t="s">
        <v>262</v>
      </c>
      <c r="B5" s="118" t="s">
        <v>262</v>
      </c>
      <c r="C5" s="118" t="s">
        <v>263</v>
      </c>
      <c r="D5" s="193">
        <f>재가노인지원!E8</f>
        <v>143170000</v>
      </c>
      <c r="E5" s="193">
        <f>재가노인지원!F8</f>
        <v>144000000</v>
      </c>
      <c r="F5" s="193">
        <f t="shared" ref="F5:F8" si="1">E5-D5</f>
        <v>830000</v>
      </c>
      <c r="G5" s="194" t="s">
        <v>272</v>
      </c>
    </row>
    <row r="6" spans="1:7" ht="18" customHeight="1">
      <c r="A6" s="117" t="s">
        <v>264</v>
      </c>
      <c r="B6" s="118" t="s">
        <v>264</v>
      </c>
      <c r="C6" s="118" t="s">
        <v>265</v>
      </c>
      <c r="D6" s="193">
        <f>재가노인지원!E11</f>
        <v>500000</v>
      </c>
      <c r="E6" s="193">
        <f>재가노인지원!F11</f>
        <v>1000000</v>
      </c>
      <c r="F6" s="193">
        <f t="shared" si="1"/>
        <v>500000</v>
      </c>
      <c r="G6" s="194" t="s">
        <v>273</v>
      </c>
    </row>
    <row r="7" spans="1:7" ht="18" customHeight="1">
      <c r="A7" s="117" t="s">
        <v>266</v>
      </c>
      <c r="B7" s="118" t="s">
        <v>266</v>
      </c>
      <c r="C7" s="118" t="s">
        <v>266</v>
      </c>
      <c r="D7" s="193">
        <f>재가노인지원!E14</f>
        <v>2700000</v>
      </c>
      <c r="E7" s="193">
        <f>재가노인지원!F14</f>
        <v>4800000</v>
      </c>
      <c r="F7" s="193">
        <f t="shared" si="1"/>
        <v>2100000</v>
      </c>
      <c r="G7" s="194" t="s">
        <v>274</v>
      </c>
    </row>
    <row r="8" spans="1:7" ht="18" customHeight="1">
      <c r="A8" s="117" t="s">
        <v>267</v>
      </c>
      <c r="B8" s="118" t="s">
        <v>267</v>
      </c>
      <c r="C8" s="118" t="s">
        <v>268</v>
      </c>
      <c r="D8" s="193">
        <f>재가노인지원!E16</f>
        <v>348281</v>
      </c>
      <c r="E8" s="193">
        <f>재가노인지원!F16</f>
        <v>600000</v>
      </c>
      <c r="F8" s="193">
        <f t="shared" si="1"/>
        <v>251719</v>
      </c>
      <c r="G8" s="194" t="s">
        <v>275</v>
      </c>
    </row>
    <row r="9" spans="1:7" ht="18" customHeight="1">
      <c r="A9" s="117"/>
      <c r="B9" s="118"/>
      <c r="C9" s="118" t="s">
        <v>271</v>
      </c>
      <c r="D9" s="193">
        <f>재가노인지원!E17</f>
        <v>5422132</v>
      </c>
      <c r="E9" s="193">
        <f>재가노인지원!F17</f>
        <v>7000000</v>
      </c>
      <c r="F9" s="193">
        <f>E9-D9</f>
        <v>1577868</v>
      </c>
      <c r="G9" s="194" t="s">
        <v>276</v>
      </c>
    </row>
    <row r="10" spans="1:7" ht="18" customHeight="1">
      <c r="A10" s="117" t="s">
        <v>269</v>
      </c>
      <c r="B10" s="116" t="s">
        <v>269</v>
      </c>
      <c r="C10" s="116" t="s">
        <v>328</v>
      </c>
      <c r="D10" s="190">
        <f>재가노인지원!E19</f>
        <v>29587</v>
      </c>
      <c r="E10" s="190">
        <f>재가노인지원!F19</f>
        <v>30000</v>
      </c>
      <c r="F10" s="193">
        <f>E10-D10</f>
        <v>413</v>
      </c>
      <c r="G10" s="245" t="s">
        <v>330</v>
      </c>
    </row>
    <row r="11" spans="1:7" ht="18" customHeight="1" thickBot="1">
      <c r="A11" s="110"/>
      <c r="B11" s="248"/>
      <c r="C11" s="248" t="s">
        <v>270</v>
      </c>
      <c r="D11" s="250">
        <f>재가노인지원!E20</f>
        <v>1480000</v>
      </c>
      <c r="E11" s="250">
        <f>재가노인지원!F20</f>
        <v>1320000</v>
      </c>
      <c r="F11" s="267">
        <f>E11-D11</f>
        <v>-160000</v>
      </c>
      <c r="G11" s="249" t="s">
        <v>329</v>
      </c>
    </row>
    <row r="12" spans="1:7" ht="17.25" customHeight="1">
      <c r="A12" s="112"/>
      <c r="B12" s="112"/>
      <c r="C12" s="112"/>
      <c r="D12" s="184"/>
      <c r="E12" s="185"/>
      <c r="F12" s="184"/>
      <c r="G12" s="84"/>
    </row>
    <row r="13" spans="1:7" ht="17.25" customHeight="1" thickBot="1">
      <c r="A13" s="113" t="s">
        <v>165</v>
      </c>
      <c r="B13" s="114"/>
      <c r="C13" s="115"/>
      <c r="D13" s="186"/>
      <c r="E13" s="187"/>
      <c r="F13" s="186"/>
      <c r="G13" s="84"/>
    </row>
    <row r="14" spans="1:7" ht="18" customHeight="1">
      <c r="A14" s="87" t="s">
        <v>161</v>
      </c>
      <c r="B14" s="88" t="s">
        <v>3</v>
      </c>
      <c r="C14" s="88" t="s">
        <v>4</v>
      </c>
      <c r="D14" s="188" t="s">
        <v>326</v>
      </c>
      <c r="E14" s="188" t="s">
        <v>327</v>
      </c>
      <c r="F14" s="188" t="s">
        <v>162</v>
      </c>
      <c r="G14" s="90" t="s">
        <v>163</v>
      </c>
    </row>
    <row r="15" spans="1:7" ht="24" customHeight="1">
      <c r="A15" s="367" t="s">
        <v>164</v>
      </c>
      <c r="B15" s="368"/>
      <c r="C15" s="369"/>
      <c r="D15" s="181">
        <f>SUM(D16:D46)</f>
        <v>160670000</v>
      </c>
      <c r="E15" s="181">
        <f>SUM(E16:E46)</f>
        <v>165770000</v>
      </c>
      <c r="F15" s="181">
        <f>E15-D15</f>
        <v>5100000</v>
      </c>
      <c r="G15" s="91"/>
    </row>
    <row r="16" spans="1:7" ht="18" customHeight="1">
      <c r="A16" s="117" t="s">
        <v>180</v>
      </c>
      <c r="B16" s="118" t="s">
        <v>166</v>
      </c>
      <c r="C16" s="116" t="str">
        <f>세출!D8</f>
        <v>급  여</v>
      </c>
      <c r="D16" s="189">
        <f>세출!E8</f>
        <v>70697990</v>
      </c>
      <c r="E16" s="189">
        <f>세출!F8</f>
        <v>74054280</v>
      </c>
      <c r="F16" s="190">
        <f t="shared" ref="F16:F46" si="2">E16-D16</f>
        <v>3356290</v>
      </c>
      <c r="G16" s="370" t="s">
        <v>280</v>
      </c>
    </row>
    <row r="17" spans="1:7" ht="18" customHeight="1">
      <c r="A17" s="215"/>
      <c r="B17" s="216"/>
      <c r="C17" s="116" t="str">
        <f>세출!D13</f>
        <v>제수당</v>
      </c>
      <c r="D17" s="189">
        <f>세출!E13</f>
        <v>22799730</v>
      </c>
      <c r="E17" s="189">
        <f>세출!F13</f>
        <v>25046520</v>
      </c>
      <c r="F17" s="190">
        <f t="shared" si="2"/>
        <v>2246790</v>
      </c>
      <c r="G17" s="370"/>
    </row>
    <row r="18" spans="1:7" ht="18" customHeight="1">
      <c r="A18" s="215"/>
      <c r="B18" s="216"/>
      <c r="C18" s="116" t="str">
        <f>세출!D31</f>
        <v>퇴직금 및 퇴직적립금</v>
      </c>
      <c r="D18" s="189">
        <f>세출!E31</f>
        <v>7791470</v>
      </c>
      <c r="E18" s="189">
        <f>세출!F31</f>
        <v>8258400</v>
      </c>
      <c r="F18" s="190">
        <f t="shared" si="2"/>
        <v>466930</v>
      </c>
      <c r="G18" s="370"/>
    </row>
    <row r="19" spans="1:7" ht="18" customHeight="1">
      <c r="A19" s="215"/>
      <c r="B19" s="216"/>
      <c r="C19" s="116" t="str">
        <f>세출!D33</f>
        <v>사회보험부담금</v>
      </c>
      <c r="D19" s="189">
        <f>세출!E33</f>
        <v>8156560</v>
      </c>
      <c r="E19" s="189">
        <f>세출!F33</f>
        <v>9151360</v>
      </c>
      <c r="F19" s="190">
        <f t="shared" si="2"/>
        <v>994800</v>
      </c>
      <c r="G19" s="370"/>
    </row>
    <row r="20" spans="1:7" ht="18" customHeight="1">
      <c r="A20" s="215"/>
      <c r="B20" s="217"/>
      <c r="C20" s="116" t="str">
        <f>세출!D39</f>
        <v>기타후생경비</v>
      </c>
      <c r="D20" s="189">
        <f>세출!E39</f>
        <v>900000</v>
      </c>
      <c r="E20" s="189">
        <f>세출!F39</f>
        <v>1380000</v>
      </c>
      <c r="F20" s="190">
        <f t="shared" si="2"/>
        <v>480000</v>
      </c>
      <c r="G20" s="370"/>
    </row>
    <row r="21" spans="1:7" ht="18" customHeight="1">
      <c r="A21" s="215"/>
      <c r="B21" s="216" t="s">
        <v>281</v>
      </c>
      <c r="C21" s="116" t="s">
        <v>282</v>
      </c>
      <c r="D21" s="189">
        <f>재가노인지원!L15</f>
        <v>340000</v>
      </c>
      <c r="E21" s="189">
        <f>재가노인지원!M15</f>
        <v>400000</v>
      </c>
      <c r="F21" s="190">
        <f t="shared" si="2"/>
        <v>60000</v>
      </c>
      <c r="G21" s="245" t="s">
        <v>283</v>
      </c>
    </row>
    <row r="22" spans="1:7" ht="18" customHeight="1">
      <c r="A22" s="215"/>
      <c r="B22" s="217"/>
      <c r="C22" s="116" t="s">
        <v>284</v>
      </c>
      <c r="D22" s="189">
        <f>재가노인지원!L16</f>
        <v>100000</v>
      </c>
      <c r="E22" s="189">
        <f>재가노인지원!M16</f>
        <v>400000</v>
      </c>
      <c r="F22" s="190">
        <f t="shared" si="2"/>
        <v>300000</v>
      </c>
      <c r="G22" s="245" t="s">
        <v>285</v>
      </c>
    </row>
    <row r="23" spans="1:7" ht="18" customHeight="1">
      <c r="A23" s="215"/>
      <c r="B23" s="216" t="s">
        <v>286</v>
      </c>
      <c r="C23" s="116" t="s">
        <v>287</v>
      </c>
      <c r="D23" s="189">
        <f>재가노인지원!L18</f>
        <v>400000</v>
      </c>
      <c r="E23" s="189">
        <f>재가노인지원!M18</f>
        <v>900000</v>
      </c>
      <c r="F23" s="190">
        <f t="shared" si="2"/>
        <v>500000</v>
      </c>
      <c r="G23" s="245" t="s">
        <v>288</v>
      </c>
    </row>
    <row r="24" spans="1:7" ht="18" customHeight="1">
      <c r="A24" s="215"/>
      <c r="B24" s="216"/>
      <c r="C24" s="116" t="s">
        <v>289</v>
      </c>
      <c r="D24" s="189">
        <f>재가노인지원!L19</f>
        <v>7350000</v>
      </c>
      <c r="E24" s="189">
        <f>재가노인지원!M19</f>
        <v>6000000</v>
      </c>
      <c r="F24" s="190">
        <f t="shared" si="2"/>
        <v>-1350000</v>
      </c>
      <c r="G24" s="245" t="s">
        <v>290</v>
      </c>
    </row>
    <row r="25" spans="1:7" ht="18" customHeight="1">
      <c r="A25" s="215"/>
      <c r="B25" s="216"/>
      <c r="C25" s="116" t="s">
        <v>291</v>
      </c>
      <c r="D25" s="189">
        <f>재가노인지원!L20</f>
        <v>4660000</v>
      </c>
      <c r="E25" s="189">
        <f>재가노인지원!M20</f>
        <v>5640000</v>
      </c>
      <c r="F25" s="190">
        <f t="shared" si="2"/>
        <v>980000</v>
      </c>
      <c r="G25" s="245" t="s">
        <v>292</v>
      </c>
    </row>
    <row r="26" spans="1:7" ht="18" customHeight="1">
      <c r="A26" s="215"/>
      <c r="B26" s="216"/>
      <c r="C26" s="116" t="s">
        <v>293</v>
      </c>
      <c r="D26" s="189">
        <f>재가노인지원!L21</f>
        <v>4200000</v>
      </c>
      <c r="E26" s="189">
        <f>재가노인지원!M21</f>
        <v>3800000</v>
      </c>
      <c r="F26" s="190">
        <f t="shared" si="2"/>
        <v>-400000</v>
      </c>
      <c r="G26" s="245" t="s">
        <v>294</v>
      </c>
    </row>
    <row r="27" spans="1:7" ht="18" customHeight="1">
      <c r="A27" s="215"/>
      <c r="B27" s="216"/>
      <c r="C27" s="116" t="s">
        <v>295</v>
      </c>
      <c r="D27" s="189">
        <f>재가노인지원!L22</f>
        <v>2080000</v>
      </c>
      <c r="E27" s="189">
        <f>재가노인지원!M22</f>
        <v>2600000</v>
      </c>
      <c r="F27" s="190">
        <f t="shared" si="2"/>
        <v>520000</v>
      </c>
      <c r="G27" s="245" t="s">
        <v>296</v>
      </c>
    </row>
    <row r="28" spans="1:7" ht="18" customHeight="1">
      <c r="A28" s="117" t="s">
        <v>278</v>
      </c>
      <c r="B28" s="118" t="s">
        <v>277</v>
      </c>
      <c r="C28" s="116" t="s">
        <v>331</v>
      </c>
      <c r="D28" s="189">
        <f>재가노인지원!L29</f>
        <v>1320000</v>
      </c>
      <c r="E28" s="189">
        <v>0</v>
      </c>
      <c r="F28" s="190">
        <f t="shared" si="2"/>
        <v>-1320000</v>
      </c>
      <c r="G28" s="245" t="s">
        <v>279</v>
      </c>
    </row>
    <row r="29" spans="1:7" ht="18" customHeight="1">
      <c r="A29" s="215"/>
      <c r="B29" s="216"/>
      <c r="C29" s="116" t="s">
        <v>332</v>
      </c>
      <c r="D29" s="189">
        <v>0</v>
      </c>
      <c r="E29" s="189">
        <f>재가노인지원!M30</f>
        <v>1440000</v>
      </c>
      <c r="F29" s="190">
        <f t="shared" si="2"/>
        <v>1440000</v>
      </c>
      <c r="G29" s="245" t="s">
        <v>333</v>
      </c>
    </row>
    <row r="30" spans="1:7" ht="18" customHeight="1">
      <c r="A30" s="215"/>
      <c r="B30" s="253" t="s">
        <v>338</v>
      </c>
      <c r="C30" s="116" t="s">
        <v>297</v>
      </c>
      <c r="D30" s="189">
        <f>재가노인지원!L34</f>
        <v>2832000</v>
      </c>
      <c r="E30" s="189">
        <f>재가노인지원!M34</f>
        <v>1600000</v>
      </c>
      <c r="F30" s="190">
        <f t="shared" si="2"/>
        <v>-1232000</v>
      </c>
      <c r="G30" s="245" t="s">
        <v>298</v>
      </c>
    </row>
    <row r="31" spans="1:7" ht="18" customHeight="1">
      <c r="A31" s="215"/>
      <c r="B31" s="251"/>
      <c r="C31" s="116" t="s">
        <v>334</v>
      </c>
      <c r="D31" s="189">
        <f>재가노인지원!L35</f>
        <v>80000</v>
      </c>
      <c r="E31" s="189">
        <f>재가노인지원!M35</f>
        <v>192000</v>
      </c>
      <c r="F31" s="190">
        <f t="shared" si="2"/>
        <v>112000</v>
      </c>
      <c r="G31" s="245" t="s">
        <v>335</v>
      </c>
    </row>
    <row r="32" spans="1:7" ht="18" customHeight="1">
      <c r="A32" s="215"/>
      <c r="B32" s="251"/>
      <c r="C32" s="116" t="s">
        <v>299</v>
      </c>
      <c r="D32" s="189">
        <f>재가노인지원!L36</f>
        <v>1684000</v>
      </c>
      <c r="E32" s="189">
        <f>재가노인지원!M36</f>
        <v>0</v>
      </c>
      <c r="F32" s="190">
        <f t="shared" si="2"/>
        <v>-1684000</v>
      </c>
      <c r="G32" s="245" t="s">
        <v>300</v>
      </c>
    </row>
    <row r="33" spans="1:7" ht="18" customHeight="1">
      <c r="A33" s="215"/>
      <c r="B33" s="251"/>
      <c r="C33" s="116" t="s">
        <v>301</v>
      </c>
      <c r="D33" s="189">
        <f>재가노인지원!L37</f>
        <v>600000</v>
      </c>
      <c r="E33" s="189">
        <f>재가노인지원!M37</f>
        <v>400000</v>
      </c>
      <c r="F33" s="190">
        <f t="shared" si="2"/>
        <v>-200000</v>
      </c>
      <c r="G33" s="245" t="s">
        <v>302</v>
      </c>
    </row>
    <row r="34" spans="1:7" ht="18" customHeight="1">
      <c r="A34" s="215"/>
      <c r="B34" s="251"/>
      <c r="C34" s="116" t="s">
        <v>303</v>
      </c>
      <c r="D34" s="189">
        <f>재가노인지원!L38</f>
        <v>2120000</v>
      </c>
      <c r="E34" s="189">
        <f>재가노인지원!M38</f>
        <v>2000000</v>
      </c>
      <c r="F34" s="190">
        <f t="shared" si="2"/>
        <v>-120000</v>
      </c>
      <c r="G34" s="245" t="s">
        <v>304</v>
      </c>
    </row>
    <row r="35" spans="1:7" ht="18" customHeight="1">
      <c r="A35" s="215"/>
      <c r="B35" s="252"/>
      <c r="C35" s="116" t="str">
        <f>세출!D80</f>
        <v>긴급지원비</v>
      </c>
      <c r="D35" s="189">
        <f>세출!E80</f>
        <v>7090500</v>
      </c>
      <c r="E35" s="189">
        <f>세출!F80</f>
        <v>5000000</v>
      </c>
      <c r="F35" s="190">
        <f t="shared" si="2"/>
        <v>-2090500</v>
      </c>
      <c r="G35" s="245" t="s">
        <v>305</v>
      </c>
    </row>
    <row r="36" spans="1:7" ht="18" customHeight="1">
      <c r="A36" s="215"/>
      <c r="B36" s="253" t="str">
        <f>세출!C83</f>
        <v>주거환경
개선사업비</v>
      </c>
      <c r="C36" s="116" t="s">
        <v>306</v>
      </c>
      <c r="D36" s="189">
        <f>세출!E84</f>
        <v>400000</v>
      </c>
      <c r="E36" s="189">
        <f>세출!F84</f>
        <v>0</v>
      </c>
      <c r="F36" s="190">
        <f t="shared" si="2"/>
        <v>-400000</v>
      </c>
      <c r="G36" s="245" t="s">
        <v>300</v>
      </c>
    </row>
    <row r="37" spans="1:7" ht="18" customHeight="1">
      <c r="A37" s="215"/>
      <c r="B37" s="251"/>
      <c r="C37" s="118" t="s">
        <v>307</v>
      </c>
      <c r="D37" s="191">
        <f>재가노인지원!L46</f>
        <v>0</v>
      </c>
      <c r="E37" s="191">
        <f>재가노인지원!M46</f>
        <v>1900000</v>
      </c>
      <c r="F37" s="190">
        <f t="shared" si="2"/>
        <v>1900000</v>
      </c>
      <c r="G37" s="245" t="s">
        <v>308</v>
      </c>
    </row>
    <row r="38" spans="1:7" ht="18" customHeight="1">
      <c r="A38" s="215"/>
      <c r="B38" s="251"/>
      <c r="C38" s="118" t="str">
        <f>세출!D88</f>
        <v>방역지원비</v>
      </c>
      <c r="D38" s="191">
        <f>세출!E88</f>
        <v>1824000</v>
      </c>
      <c r="E38" s="191">
        <f>세출!F88</f>
        <v>1400000</v>
      </c>
      <c r="F38" s="190">
        <f t="shared" si="2"/>
        <v>-424000</v>
      </c>
      <c r="G38" s="245" t="s">
        <v>309</v>
      </c>
    </row>
    <row r="39" spans="1:7" ht="18" customHeight="1">
      <c r="A39" s="215"/>
      <c r="B39" s="253" t="s">
        <v>310</v>
      </c>
      <c r="C39" s="118" t="str">
        <f>세출!D92</f>
        <v>나들이지원비</v>
      </c>
      <c r="D39" s="191">
        <f>세출!E92</f>
        <v>4600000</v>
      </c>
      <c r="E39" s="191">
        <f>세출!F92</f>
        <v>4900000</v>
      </c>
      <c r="F39" s="190">
        <f t="shared" si="2"/>
        <v>300000</v>
      </c>
      <c r="G39" s="245" t="s">
        <v>311</v>
      </c>
    </row>
    <row r="40" spans="1:7" ht="18" customHeight="1">
      <c r="A40" s="215"/>
      <c r="B40" s="216"/>
      <c r="C40" s="118" t="s">
        <v>312</v>
      </c>
      <c r="D40" s="191">
        <f>재가노인지원!L50</f>
        <v>1680000</v>
      </c>
      <c r="E40" s="191">
        <f>재가노인지원!M50</f>
        <v>2100000</v>
      </c>
      <c r="F40" s="190">
        <f t="shared" si="2"/>
        <v>420000</v>
      </c>
      <c r="G40" s="194" t="s">
        <v>313</v>
      </c>
    </row>
    <row r="41" spans="1:7" ht="18" customHeight="1">
      <c r="A41" s="215"/>
      <c r="B41" s="118" t="s">
        <v>314</v>
      </c>
      <c r="C41" s="118" t="s">
        <v>315</v>
      </c>
      <c r="D41" s="191">
        <f>재가노인지원!L53</f>
        <v>2550000</v>
      </c>
      <c r="E41" s="191">
        <f>재가노인지원!M53</f>
        <v>2860000</v>
      </c>
      <c r="F41" s="190">
        <f t="shared" si="2"/>
        <v>310000</v>
      </c>
      <c r="G41" s="194" t="s">
        <v>316</v>
      </c>
    </row>
    <row r="42" spans="1:7" ht="18" customHeight="1">
      <c r="A42" s="215"/>
      <c r="B42" s="216"/>
      <c r="C42" s="118" t="s">
        <v>317</v>
      </c>
      <c r="D42" s="191">
        <f>재가노인지원!L54</f>
        <v>2000000</v>
      </c>
      <c r="E42" s="191">
        <f>재가노인지원!M54</f>
        <v>1800000</v>
      </c>
      <c r="F42" s="190">
        <f t="shared" si="2"/>
        <v>-200000</v>
      </c>
      <c r="G42" s="194" t="s">
        <v>318</v>
      </c>
    </row>
    <row r="43" spans="1:7" ht="18" customHeight="1">
      <c r="A43" s="215"/>
      <c r="B43" s="216"/>
      <c r="C43" s="118" t="s">
        <v>336</v>
      </c>
      <c r="D43" s="191">
        <f>재가노인지원!L55</f>
        <v>1350000</v>
      </c>
      <c r="E43" s="191">
        <f>재가노인지원!M55</f>
        <v>1500000</v>
      </c>
      <c r="F43" s="190">
        <f t="shared" si="2"/>
        <v>150000</v>
      </c>
      <c r="G43" s="194" t="s">
        <v>337</v>
      </c>
    </row>
    <row r="44" spans="1:7" ht="18" customHeight="1">
      <c r="A44" s="215"/>
      <c r="B44" s="216"/>
      <c r="C44" s="118" t="s">
        <v>319</v>
      </c>
      <c r="D44" s="191">
        <f>재가노인지원!L56</f>
        <v>250000</v>
      </c>
      <c r="E44" s="191">
        <f>재가노인지원!M56</f>
        <v>200000</v>
      </c>
      <c r="F44" s="190">
        <f t="shared" si="2"/>
        <v>-50000</v>
      </c>
      <c r="G44" s="194" t="s">
        <v>320</v>
      </c>
    </row>
    <row r="45" spans="1:7" ht="18" customHeight="1">
      <c r="A45" s="254" t="s">
        <v>90</v>
      </c>
      <c r="B45" s="116" t="s">
        <v>321</v>
      </c>
      <c r="C45" s="118" t="s">
        <v>321</v>
      </c>
      <c r="D45" s="191">
        <f>재가노인지원!L60</f>
        <v>489039</v>
      </c>
      <c r="E45" s="191">
        <f>재가노인지원!M60</f>
        <v>500000</v>
      </c>
      <c r="F45" s="190">
        <f t="shared" si="2"/>
        <v>10961</v>
      </c>
      <c r="G45" s="194" t="s">
        <v>322</v>
      </c>
    </row>
    <row r="46" spans="1:7" ht="18" customHeight="1" thickBot="1">
      <c r="A46" s="110" t="s">
        <v>323</v>
      </c>
      <c r="B46" s="111" t="s">
        <v>323</v>
      </c>
      <c r="C46" s="111" t="s">
        <v>324</v>
      </c>
      <c r="D46" s="192">
        <f>세출!E121</f>
        <v>324711</v>
      </c>
      <c r="E46" s="192">
        <f>세출!F121</f>
        <v>347440</v>
      </c>
      <c r="F46" s="183">
        <f t="shared" si="2"/>
        <v>22729</v>
      </c>
      <c r="G46" s="214" t="s">
        <v>325</v>
      </c>
    </row>
    <row r="49" spans="6:6">
      <c r="F49" s="85"/>
    </row>
  </sheetData>
  <mergeCells count="4">
    <mergeCell ref="A1:G1"/>
    <mergeCell ref="A4:C4"/>
    <mergeCell ref="A15:C15"/>
    <mergeCell ref="G16:G20"/>
  </mergeCells>
  <phoneticPr fontId="2" type="noConversion"/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Z73"/>
  <sheetViews>
    <sheetView view="pageBreakPreview" zoomScaleSheetLayoutView="100" workbookViewId="0">
      <selection activeCell="R16" sqref="R16"/>
    </sheetView>
  </sheetViews>
  <sheetFormatPr defaultRowHeight="13.5"/>
  <cols>
    <col min="1" max="1" width="2.44140625" style="4" customWidth="1"/>
    <col min="2" max="3" width="9.44140625" style="275" customWidth="1"/>
    <col min="4" max="4" width="17.21875" style="275" customWidth="1"/>
    <col min="5" max="5" width="11.109375" style="11" customWidth="1"/>
    <col min="6" max="6" width="11.109375" style="17" customWidth="1"/>
    <col min="7" max="7" width="10" style="33" customWidth="1"/>
    <col min="8" max="8" width="6.6640625" style="4" customWidth="1"/>
    <col min="9" max="10" width="10.5546875" style="275" customWidth="1"/>
    <col min="11" max="11" width="17" style="275" customWidth="1"/>
    <col min="12" max="13" width="11.109375" style="11" customWidth="1"/>
    <col min="14" max="14" width="10" style="11" customWidth="1"/>
    <col min="15" max="15" width="6.6640625" style="415" customWidth="1"/>
    <col min="16" max="16" width="8.88671875" style="4"/>
    <col min="17" max="17" width="9.88671875" style="4" bestFit="1" customWidth="1"/>
    <col min="18" max="18" width="8.88671875" style="4"/>
    <col min="19" max="19" width="17.21875" style="4" bestFit="1" customWidth="1"/>
    <col min="20" max="23" width="8.88671875" style="4"/>
    <col min="24" max="24" width="27.33203125" style="4" bestFit="1" customWidth="1"/>
    <col min="25" max="25" width="34.33203125" style="17" bestFit="1" customWidth="1"/>
    <col min="26" max="26" width="13.6640625" style="27" bestFit="1" customWidth="1"/>
    <col min="27" max="16384" width="8.88671875" style="4"/>
  </cols>
  <sheetData>
    <row r="1" spans="2:26" ht="26.25" customHeight="1">
      <c r="B1" s="332" t="s">
        <v>349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2:26" ht="16.5" customHeight="1" thickBot="1">
      <c r="B2" s="342"/>
      <c r="C2" s="342"/>
      <c r="D2" s="342"/>
      <c r="E2" s="24"/>
      <c r="F2" s="28"/>
      <c r="G2" s="29"/>
      <c r="H2" s="7"/>
      <c r="I2" s="53"/>
      <c r="J2" s="53"/>
      <c r="K2" s="53"/>
      <c r="L2" s="24"/>
      <c r="M2" s="24"/>
      <c r="N2" s="371" t="s">
        <v>44</v>
      </c>
      <c r="O2" s="372"/>
      <c r="P2" s="5"/>
      <c r="Q2" s="5"/>
      <c r="R2" s="5"/>
      <c r="S2" s="5"/>
      <c r="T2" s="5"/>
      <c r="U2" s="5"/>
      <c r="V2" s="5"/>
      <c r="W2" s="5"/>
      <c r="X2" s="5"/>
    </row>
    <row r="3" spans="2:26" ht="15" customHeight="1">
      <c r="B3" s="321" t="s">
        <v>32</v>
      </c>
      <c r="C3" s="322"/>
      <c r="D3" s="322"/>
      <c r="E3" s="322"/>
      <c r="F3" s="322"/>
      <c r="G3" s="322"/>
      <c r="H3" s="322"/>
      <c r="I3" s="322" t="s">
        <v>33</v>
      </c>
      <c r="J3" s="322"/>
      <c r="K3" s="322"/>
      <c r="L3" s="322"/>
      <c r="M3" s="322"/>
      <c r="N3" s="322"/>
      <c r="O3" s="336"/>
      <c r="P3" s="5"/>
      <c r="Q3" s="323"/>
      <c r="R3" s="323"/>
      <c r="S3" s="323"/>
      <c r="T3" s="324"/>
      <c r="U3" s="324"/>
      <c r="V3" s="323"/>
      <c r="W3" s="323"/>
      <c r="X3" s="5"/>
    </row>
    <row r="4" spans="2:26" ht="20.25" customHeight="1">
      <c r="B4" s="326" t="s">
        <v>2</v>
      </c>
      <c r="C4" s="300" t="s">
        <v>3</v>
      </c>
      <c r="D4" s="300" t="s">
        <v>4</v>
      </c>
      <c r="E4" s="331" t="s">
        <v>230</v>
      </c>
      <c r="F4" s="331" t="s">
        <v>231</v>
      </c>
      <c r="G4" s="300" t="s">
        <v>5</v>
      </c>
      <c r="H4" s="300"/>
      <c r="I4" s="300" t="s">
        <v>2</v>
      </c>
      <c r="J4" s="300" t="s">
        <v>3</v>
      </c>
      <c r="K4" s="300" t="s">
        <v>4</v>
      </c>
      <c r="L4" s="331" t="s">
        <v>230</v>
      </c>
      <c r="M4" s="331" t="s">
        <v>231</v>
      </c>
      <c r="N4" s="300" t="s">
        <v>5</v>
      </c>
      <c r="O4" s="373"/>
      <c r="P4" s="5"/>
      <c r="Q4" s="284"/>
      <c r="R4" s="284"/>
      <c r="S4" s="284"/>
      <c r="T4" s="284"/>
      <c r="U4" s="284"/>
      <c r="V4" s="269"/>
      <c r="W4" s="269"/>
      <c r="X4" s="5"/>
    </row>
    <row r="5" spans="2:26" ht="23.25" customHeight="1" thickBot="1">
      <c r="B5" s="327"/>
      <c r="C5" s="328"/>
      <c r="D5" s="328"/>
      <c r="E5" s="328"/>
      <c r="F5" s="328"/>
      <c r="G5" s="30" t="s">
        <v>6</v>
      </c>
      <c r="H5" s="268" t="s">
        <v>7</v>
      </c>
      <c r="I5" s="328"/>
      <c r="J5" s="328"/>
      <c r="K5" s="328"/>
      <c r="L5" s="328"/>
      <c r="M5" s="328"/>
      <c r="N5" s="374" t="s">
        <v>6</v>
      </c>
      <c r="O5" s="375" t="s">
        <v>7</v>
      </c>
      <c r="P5" s="5"/>
      <c r="Q5" s="77"/>
      <c r="R5" s="77"/>
      <c r="S5" s="77"/>
      <c r="T5" s="5"/>
      <c r="U5" s="5"/>
      <c r="V5" s="5"/>
      <c r="W5" s="5"/>
      <c r="X5" s="5"/>
    </row>
    <row r="6" spans="2:26" ht="17.25" customHeight="1" thickBot="1">
      <c r="B6" s="337" t="s">
        <v>34</v>
      </c>
      <c r="C6" s="338"/>
      <c r="D6" s="338"/>
      <c r="E6" s="143">
        <f>E7+E10+E12+E14+E17</f>
        <v>23812000</v>
      </c>
      <c r="F6" s="143">
        <f>F7+F10+F12+F14+F17</f>
        <v>25503000</v>
      </c>
      <c r="G6" s="143">
        <f>G7+G10+G12+G14+G17</f>
        <v>1691000</v>
      </c>
      <c r="H6" s="376">
        <f>F6/E6*100-100</f>
        <v>7.1014614480094025</v>
      </c>
      <c r="I6" s="377" t="s">
        <v>34</v>
      </c>
      <c r="J6" s="378"/>
      <c r="K6" s="378"/>
      <c r="L6" s="143">
        <f>SUM(L7,L11,L15)</f>
        <v>23812000</v>
      </c>
      <c r="M6" s="143">
        <f>SUM(M7,M11,M15)</f>
        <v>25503000</v>
      </c>
      <c r="N6" s="143">
        <f t="shared" ref="N6:N18" si="0">M6-L6</f>
        <v>1691000</v>
      </c>
      <c r="O6" s="376">
        <f>M6/L6*100-100</f>
        <v>7.1014614480094025</v>
      </c>
      <c r="P6" s="5"/>
      <c r="Q6" s="5"/>
      <c r="R6" s="323"/>
      <c r="S6" s="323"/>
      <c r="T6" s="5"/>
      <c r="U6" s="5"/>
      <c r="V6" s="5"/>
      <c r="W6" s="5"/>
      <c r="X6" s="5"/>
    </row>
    <row r="7" spans="2:26" ht="17.25" customHeight="1">
      <c r="B7" s="379" t="str">
        <f>[1]세입!B7</f>
        <v>보조금수입</v>
      </c>
      <c r="C7" s="363" t="s">
        <v>10</v>
      </c>
      <c r="D7" s="363"/>
      <c r="E7" s="201">
        <f>SUM(E8:E9)</f>
        <v>21444000</v>
      </c>
      <c r="F7" s="201">
        <f t="shared" ref="F7" si="1">SUM(F8:F9)</f>
        <v>21444000</v>
      </c>
      <c r="G7" s="380">
        <f>F7-E7</f>
        <v>0</v>
      </c>
      <c r="H7" s="381">
        <f>F7/E7*100-100</f>
        <v>0</v>
      </c>
      <c r="I7" s="382" t="str">
        <f>[1]세출!B8</f>
        <v>사무비</v>
      </c>
      <c r="J7" s="383" t="s">
        <v>10</v>
      </c>
      <c r="K7" s="384"/>
      <c r="L7" s="201">
        <f>L8</f>
        <v>430185</v>
      </c>
      <c r="M7" s="201">
        <f>M8</f>
        <v>381000</v>
      </c>
      <c r="N7" s="201">
        <f t="shared" si="0"/>
        <v>-49185</v>
      </c>
      <c r="O7" s="381">
        <f>M7/L7*100-100</f>
        <v>-11.433453049269502</v>
      </c>
      <c r="P7" s="5"/>
      <c r="Q7" s="5"/>
      <c r="R7" s="5"/>
      <c r="S7" s="5"/>
      <c r="T7" s="5"/>
      <c r="U7" s="5"/>
      <c r="V7" s="5"/>
      <c r="W7" s="5"/>
      <c r="X7" s="5"/>
    </row>
    <row r="8" spans="2:26" ht="17.25" customHeight="1">
      <c r="B8" s="385"/>
      <c r="C8" s="386" t="str">
        <f>[1]세입!C7</f>
        <v>보조금수입</v>
      </c>
      <c r="D8" s="120" t="str">
        <f>[1]세입!D8</f>
        <v>도시락보조금</v>
      </c>
      <c r="E8" s="141">
        <f>[1]세입!E8</f>
        <v>10500000</v>
      </c>
      <c r="F8" s="141">
        <f>[1]세입!F8</f>
        <v>10500000</v>
      </c>
      <c r="G8" s="148">
        <f>F8-E8</f>
        <v>0</v>
      </c>
      <c r="H8" s="387">
        <f t="shared" ref="H8:H18" si="2">F8/E8*100-100</f>
        <v>0</v>
      </c>
      <c r="I8" s="388"/>
      <c r="J8" s="389" t="str">
        <f>[1]세출!C9</f>
        <v>운영비</v>
      </c>
      <c r="K8" s="121" t="str">
        <f>[1]세출!D9</f>
        <v>소  계</v>
      </c>
      <c r="L8" s="141">
        <f>SUM(L9:L10)</f>
        <v>430185</v>
      </c>
      <c r="M8" s="141">
        <f>SUM(M9:M10)</f>
        <v>381000</v>
      </c>
      <c r="N8" s="145">
        <f t="shared" si="0"/>
        <v>-49185</v>
      </c>
      <c r="O8" s="390">
        <f t="shared" ref="O8:O18" si="3">M8/L8*100-100</f>
        <v>-11.433453049269502</v>
      </c>
      <c r="P8" s="5"/>
      <c r="Q8" s="5"/>
      <c r="R8" s="5"/>
      <c r="S8" s="5"/>
      <c r="T8" s="5"/>
      <c r="U8" s="5"/>
      <c r="V8" s="5"/>
      <c r="W8" s="5"/>
      <c r="X8" s="5"/>
    </row>
    <row r="9" spans="2:26" ht="17.25" customHeight="1">
      <c r="B9" s="385"/>
      <c r="C9" s="386"/>
      <c r="D9" s="120" t="str">
        <f>[1]세입!D9</f>
        <v>밑반찬보조금</v>
      </c>
      <c r="E9" s="141">
        <f>[1]세입!E9</f>
        <v>10944000</v>
      </c>
      <c r="F9" s="141">
        <f>[1]세입!F9</f>
        <v>10944000</v>
      </c>
      <c r="G9" s="148">
        <f t="shared" ref="G9:G18" si="4">F9-E9</f>
        <v>0</v>
      </c>
      <c r="H9" s="387">
        <f t="shared" si="2"/>
        <v>0</v>
      </c>
      <c r="I9" s="388"/>
      <c r="J9" s="391"/>
      <c r="K9" s="121" t="str">
        <f>[1]세출!D10</f>
        <v>수용비및수수료</v>
      </c>
      <c r="L9" s="141">
        <f>[1]세출!E10</f>
        <v>355185</v>
      </c>
      <c r="M9" s="141">
        <f>[1]세출!F10</f>
        <v>300000</v>
      </c>
      <c r="N9" s="145">
        <f t="shared" si="0"/>
        <v>-55185</v>
      </c>
      <c r="O9" s="390">
        <f>M9/L9*100-100</f>
        <v>-15.536973689767308</v>
      </c>
      <c r="P9" s="5"/>
      <c r="Q9" s="5"/>
      <c r="R9" s="5"/>
      <c r="S9" s="5"/>
      <c r="T9" s="5"/>
      <c r="U9" s="5"/>
      <c r="V9" s="5"/>
      <c r="W9" s="5"/>
      <c r="X9" s="5"/>
    </row>
    <row r="10" spans="2:26" ht="17.25" customHeight="1">
      <c r="B10" s="385" t="str">
        <f>[1]세입!B10</f>
        <v>후원금수입</v>
      </c>
      <c r="C10" s="386" t="s">
        <v>10</v>
      </c>
      <c r="D10" s="386"/>
      <c r="E10" s="141">
        <f>E11</f>
        <v>300000</v>
      </c>
      <c r="F10" s="141">
        <f>F11</f>
        <v>300000</v>
      </c>
      <c r="G10" s="148">
        <f t="shared" si="4"/>
        <v>0</v>
      </c>
      <c r="H10" s="387">
        <f t="shared" si="2"/>
        <v>0</v>
      </c>
      <c r="I10" s="392"/>
      <c r="J10" s="393"/>
      <c r="K10" s="121" t="str">
        <f>[1]세출!D11</f>
        <v>제세공과금</v>
      </c>
      <c r="L10" s="141">
        <f>[1]세출!E11</f>
        <v>75000</v>
      </c>
      <c r="M10" s="141">
        <f>[1]세출!F11</f>
        <v>81000</v>
      </c>
      <c r="N10" s="145">
        <f t="shared" si="0"/>
        <v>6000</v>
      </c>
      <c r="O10" s="390">
        <f t="shared" si="3"/>
        <v>8</v>
      </c>
      <c r="P10" s="5"/>
      <c r="Q10" s="5"/>
      <c r="R10" s="5"/>
      <c r="S10" s="5"/>
      <c r="T10" s="5"/>
      <c r="U10" s="5"/>
      <c r="V10" s="5"/>
      <c r="W10" s="5"/>
      <c r="X10" s="5"/>
    </row>
    <row r="11" spans="2:26" ht="17.25" customHeight="1">
      <c r="B11" s="385"/>
      <c r="C11" s="120" t="s">
        <v>11</v>
      </c>
      <c r="D11" s="120" t="str">
        <f>[1]세입!D11</f>
        <v>비지정후원금</v>
      </c>
      <c r="E11" s="141">
        <f>[1]세입!E11</f>
        <v>300000</v>
      </c>
      <c r="F11" s="141">
        <f>[1]세입!F11</f>
        <v>300000</v>
      </c>
      <c r="G11" s="148">
        <f t="shared" si="4"/>
        <v>0</v>
      </c>
      <c r="H11" s="387">
        <f t="shared" si="2"/>
        <v>0</v>
      </c>
      <c r="I11" s="394" t="str">
        <f>[1]세출!B12</f>
        <v>사업비</v>
      </c>
      <c r="J11" s="395" t="str">
        <f>[1]세출!C12</f>
        <v>계</v>
      </c>
      <c r="K11" s="396"/>
      <c r="L11" s="141">
        <f>L12</f>
        <v>23376000</v>
      </c>
      <c r="M11" s="141">
        <f>M12</f>
        <v>25116000</v>
      </c>
      <c r="N11" s="145">
        <f t="shared" si="0"/>
        <v>1740000</v>
      </c>
      <c r="O11" s="390">
        <f t="shared" si="3"/>
        <v>7.4435318275154003</v>
      </c>
      <c r="P11" s="5"/>
      <c r="Q11" s="5"/>
      <c r="R11" s="5"/>
      <c r="S11" s="5"/>
      <c r="T11" s="5"/>
      <c r="U11" s="5"/>
      <c r="V11" s="5"/>
      <c r="W11" s="5"/>
      <c r="X11" s="5"/>
    </row>
    <row r="12" spans="2:26" ht="17.25" customHeight="1">
      <c r="B12" s="397" t="str">
        <f>[1]세입!B13</f>
        <v>전입금수입</v>
      </c>
      <c r="C12" s="398" t="s">
        <v>10</v>
      </c>
      <c r="D12" s="358"/>
      <c r="E12" s="141">
        <f>E13</f>
        <v>1932000</v>
      </c>
      <c r="F12" s="141">
        <f>F13</f>
        <v>3672000</v>
      </c>
      <c r="G12" s="148">
        <f t="shared" si="4"/>
        <v>1740000</v>
      </c>
      <c r="H12" s="387">
        <f t="shared" si="2"/>
        <v>90.062111801242253</v>
      </c>
      <c r="I12" s="388"/>
      <c r="J12" s="399" t="s">
        <v>149</v>
      </c>
      <c r="K12" s="126" t="str">
        <f>[1]세출!D13</f>
        <v>소계</v>
      </c>
      <c r="L12" s="141">
        <f>SUM(L13:L14)</f>
        <v>23376000</v>
      </c>
      <c r="M12" s="141">
        <f>SUM(M13:M14)</f>
        <v>25116000</v>
      </c>
      <c r="N12" s="145">
        <f t="shared" si="0"/>
        <v>1740000</v>
      </c>
      <c r="O12" s="390">
        <f t="shared" si="3"/>
        <v>7.4435318275154003</v>
      </c>
      <c r="P12" s="5"/>
      <c r="Q12" s="5"/>
      <c r="R12" s="5"/>
      <c r="S12" s="5"/>
      <c r="T12" s="5"/>
      <c r="U12" s="5"/>
      <c r="V12" s="5"/>
      <c r="W12" s="5"/>
      <c r="X12" s="5"/>
    </row>
    <row r="13" spans="2:26" ht="17.25" customHeight="1">
      <c r="B13" s="400"/>
      <c r="C13" s="120" t="s">
        <v>12</v>
      </c>
      <c r="D13" s="120" t="s">
        <v>12</v>
      </c>
      <c r="E13" s="141">
        <f>[1]세입!E14</f>
        <v>1932000</v>
      </c>
      <c r="F13" s="141">
        <f>[1]세입!F14</f>
        <v>3672000</v>
      </c>
      <c r="G13" s="148">
        <f t="shared" si="4"/>
        <v>1740000</v>
      </c>
      <c r="H13" s="387">
        <f t="shared" si="2"/>
        <v>90.062111801242253</v>
      </c>
      <c r="I13" s="388"/>
      <c r="J13" s="399"/>
      <c r="K13" s="121" t="str">
        <f>[1]세출!D14</f>
        <v>도시락지원서비스</v>
      </c>
      <c r="L13" s="141">
        <f>[1]세출!E14</f>
        <v>11184000</v>
      </c>
      <c r="M13" s="141">
        <f>[1]세출!F14</f>
        <v>11796000</v>
      </c>
      <c r="N13" s="145">
        <f t="shared" si="0"/>
        <v>612000</v>
      </c>
      <c r="O13" s="390">
        <f t="shared" si="3"/>
        <v>5.4721030042918386</v>
      </c>
      <c r="P13" s="5"/>
      <c r="Q13" s="5"/>
      <c r="R13" s="5"/>
      <c r="S13" s="5"/>
      <c r="T13" s="5"/>
      <c r="U13" s="5"/>
      <c r="V13" s="5"/>
      <c r="W13" s="5"/>
      <c r="X13" s="5"/>
    </row>
    <row r="14" spans="2:26" ht="17.25" customHeight="1">
      <c r="B14" s="397" t="str">
        <f>[1]세입!B15</f>
        <v>이월금</v>
      </c>
      <c r="C14" s="398" t="s">
        <v>10</v>
      </c>
      <c r="D14" s="358"/>
      <c r="E14" s="141">
        <f>SUM(E15:E16)</f>
        <v>132369</v>
      </c>
      <c r="F14" s="141">
        <f>SUM(F15:F16)</f>
        <v>83000</v>
      </c>
      <c r="G14" s="148">
        <f t="shared" si="4"/>
        <v>-49369</v>
      </c>
      <c r="H14" s="387">
        <f t="shared" si="2"/>
        <v>-37.29649691393</v>
      </c>
      <c r="I14" s="392"/>
      <c r="J14" s="399"/>
      <c r="K14" s="401" t="str">
        <f>[1]세출!D15</f>
        <v>밑반찬지원서비스</v>
      </c>
      <c r="L14" s="141">
        <f>[1]세출!E15</f>
        <v>12192000</v>
      </c>
      <c r="M14" s="141">
        <f>[1]세출!F15</f>
        <v>13320000</v>
      </c>
      <c r="N14" s="145">
        <f t="shared" si="0"/>
        <v>1128000</v>
      </c>
      <c r="O14" s="390">
        <f t="shared" si="3"/>
        <v>9.2519685039370074</v>
      </c>
      <c r="P14" s="5"/>
      <c r="Q14" s="5"/>
      <c r="R14" s="5"/>
      <c r="S14" s="5"/>
      <c r="T14" s="5"/>
      <c r="U14" s="5"/>
      <c r="V14" s="5"/>
      <c r="W14" s="5"/>
      <c r="X14" s="5"/>
    </row>
    <row r="15" spans="2:26" s="17" customFormat="1" ht="17.25" customHeight="1">
      <c r="B15" s="402"/>
      <c r="C15" s="403" t="s">
        <v>128</v>
      </c>
      <c r="D15" s="120" t="str">
        <f>[1]세입!D16</f>
        <v>전년도 이월금</v>
      </c>
      <c r="E15" s="141">
        <f>[1]세입!E16</f>
        <v>3549</v>
      </c>
      <c r="F15" s="141">
        <f>[1]세입!F16</f>
        <v>23000</v>
      </c>
      <c r="G15" s="148">
        <f t="shared" si="4"/>
        <v>19451</v>
      </c>
      <c r="H15" s="387">
        <f t="shared" si="2"/>
        <v>548.06987883910961</v>
      </c>
      <c r="I15" s="394" t="str">
        <f>[1]세출!B16</f>
        <v>예비비및기타</v>
      </c>
      <c r="J15" s="395" t="str">
        <f>[1]세출!C16</f>
        <v>계</v>
      </c>
      <c r="K15" s="396"/>
      <c r="L15" s="141">
        <f>L16</f>
        <v>5815</v>
      </c>
      <c r="M15" s="141">
        <f>M16</f>
        <v>6000</v>
      </c>
      <c r="N15" s="145">
        <f>M15-L15</f>
        <v>185</v>
      </c>
      <c r="O15" s="390">
        <f t="shared" si="3"/>
        <v>3.1814273430782407</v>
      </c>
      <c r="P15" s="5"/>
      <c r="Q15" s="5"/>
      <c r="R15" s="5"/>
      <c r="S15" s="5"/>
      <c r="T15" s="5"/>
      <c r="U15" s="5"/>
      <c r="V15" s="5"/>
      <c r="W15" s="5"/>
      <c r="X15" s="5"/>
      <c r="Z15" s="27"/>
    </row>
    <row r="16" spans="2:26" s="17" customFormat="1" ht="17.25" customHeight="1">
      <c r="B16" s="400"/>
      <c r="C16" s="404"/>
      <c r="D16" s="120" t="str">
        <f>[1]세입!D17</f>
        <v>전년도이월금(후원금)</v>
      </c>
      <c r="E16" s="141">
        <f>[1]세입!E17</f>
        <v>128820</v>
      </c>
      <c r="F16" s="141">
        <f>[1]세입!F17</f>
        <v>60000</v>
      </c>
      <c r="G16" s="148">
        <f t="shared" si="4"/>
        <v>-68820</v>
      </c>
      <c r="H16" s="387">
        <f t="shared" si="2"/>
        <v>-53.423381462505823</v>
      </c>
      <c r="I16" s="388"/>
      <c r="J16" s="391" t="str">
        <f>[1]세출!C17</f>
        <v>예비비및기타</v>
      </c>
      <c r="K16" s="126" t="str">
        <f>[1]세출!D17</f>
        <v>소계</v>
      </c>
      <c r="L16" s="141">
        <f>SUM(L17:L18)</f>
        <v>5815</v>
      </c>
      <c r="M16" s="141">
        <f>SUM(M17:M18)</f>
        <v>6000</v>
      </c>
      <c r="N16" s="145">
        <f>M16-L16</f>
        <v>185</v>
      </c>
      <c r="O16" s="390">
        <f t="shared" si="3"/>
        <v>3.1814273430782407</v>
      </c>
      <c r="P16" s="5"/>
      <c r="Q16" s="5"/>
      <c r="R16" s="5"/>
      <c r="S16" s="5"/>
      <c r="T16" s="5"/>
      <c r="U16" s="5"/>
      <c r="V16" s="5"/>
      <c r="W16" s="5"/>
      <c r="X16" s="5"/>
      <c r="Z16" s="27"/>
    </row>
    <row r="17" spans="2:26" s="17" customFormat="1" ht="17.25" customHeight="1">
      <c r="B17" s="397" t="str">
        <f>[1]세입!B18</f>
        <v>잡수입</v>
      </c>
      <c r="C17" s="398" t="s">
        <v>10</v>
      </c>
      <c r="D17" s="358"/>
      <c r="E17" s="141">
        <f>E18</f>
        <v>3631</v>
      </c>
      <c r="F17" s="141">
        <f>SUM(F18:F18)</f>
        <v>4000</v>
      </c>
      <c r="G17" s="148">
        <f t="shared" si="4"/>
        <v>369</v>
      </c>
      <c r="H17" s="387">
        <f t="shared" si="2"/>
        <v>10.162489672266588</v>
      </c>
      <c r="I17" s="388"/>
      <c r="J17" s="391"/>
      <c r="K17" s="121" t="str">
        <f>[1]세출!D18</f>
        <v>반환금</v>
      </c>
      <c r="L17" s="141">
        <f>[1]세출!E18</f>
        <v>2851</v>
      </c>
      <c r="M17" s="141">
        <f>[1]세출!F18</f>
        <v>3000</v>
      </c>
      <c r="N17" s="145">
        <f t="shared" si="0"/>
        <v>149</v>
      </c>
      <c r="O17" s="390">
        <f t="shared" si="3"/>
        <v>5.2262364082777992</v>
      </c>
      <c r="P17" s="5"/>
      <c r="Q17" s="5"/>
      <c r="R17" s="5"/>
      <c r="S17" s="5"/>
      <c r="T17" s="5"/>
      <c r="U17" s="5"/>
      <c r="V17" s="5"/>
      <c r="W17" s="5"/>
      <c r="X17" s="5"/>
      <c r="Z17" s="27"/>
    </row>
    <row r="18" spans="2:26" s="17" customFormat="1" ht="17.25" customHeight="1" thickBot="1">
      <c r="B18" s="405"/>
      <c r="C18" s="41" t="str">
        <f>[1]세입!C18</f>
        <v>잡수입</v>
      </c>
      <c r="D18" s="41" t="str">
        <f>[1]세입!D19</f>
        <v>기타예금이자수입</v>
      </c>
      <c r="E18" s="156">
        <f>[1]세입!E19</f>
        <v>3631</v>
      </c>
      <c r="F18" s="156">
        <f>[1]세입!F19</f>
        <v>4000</v>
      </c>
      <c r="G18" s="406">
        <f t="shared" si="4"/>
        <v>369</v>
      </c>
      <c r="H18" s="407">
        <f t="shared" si="2"/>
        <v>10.162489672266588</v>
      </c>
      <c r="I18" s="408"/>
      <c r="J18" s="409"/>
      <c r="K18" s="131" t="str">
        <f>[1]세출!D19</f>
        <v>차기반환금(예금이자)</v>
      </c>
      <c r="L18" s="156">
        <f>[1]세출!E19</f>
        <v>2964</v>
      </c>
      <c r="M18" s="156">
        <f>[1]세출!F19</f>
        <v>3000</v>
      </c>
      <c r="N18" s="410">
        <f t="shared" si="0"/>
        <v>36</v>
      </c>
      <c r="O18" s="411">
        <f t="shared" si="3"/>
        <v>1.214574898785429</v>
      </c>
      <c r="P18" s="5"/>
      <c r="Q18" s="5"/>
      <c r="R18" s="5"/>
      <c r="S18" s="5"/>
      <c r="T18" s="5"/>
      <c r="U18" s="5"/>
      <c r="V18" s="5"/>
      <c r="W18" s="5"/>
      <c r="X18" s="5"/>
      <c r="Z18" s="27"/>
    </row>
    <row r="19" spans="2:26" ht="17.100000000000001" customHeight="1">
      <c r="E19" s="412"/>
      <c r="F19" s="413"/>
      <c r="G19" s="412"/>
      <c r="H19" s="413"/>
      <c r="L19" s="412"/>
      <c r="M19" s="412"/>
      <c r="N19" s="412"/>
      <c r="O19" s="414"/>
      <c r="P19" s="283"/>
      <c r="Y19" s="4"/>
      <c r="Z19" s="4"/>
    </row>
    <row r="20" spans="2:26" ht="17.100000000000001" customHeight="1">
      <c r="F20" s="4"/>
      <c r="G20" s="11"/>
      <c r="P20" s="283"/>
      <c r="Y20" s="4"/>
      <c r="Z20" s="4"/>
    </row>
    <row r="21" spans="2:26" ht="17.100000000000001" customHeight="1">
      <c r="F21" s="4"/>
      <c r="G21" s="11"/>
      <c r="P21" s="283"/>
      <c r="Y21" s="4"/>
      <c r="Z21" s="4"/>
    </row>
    <row r="22" spans="2:26" ht="17.100000000000001" customHeight="1">
      <c r="F22" s="4"/>
      <c r="G22" s="11"/>
      <c r="P22" s="283"/>
      <c r="Y22" s="4"/>
      <c r="Z22" s="4"/>
    </row>
    <row r="23" spans="2:26" ht="17.100000000000001" customHeight="1">
      <c r="F23" s="4"/>
      <c r="G23" s="11"/>
      <c r="P23" s="283"/>
      <c r="Y23" s="4"/>
      <c r="Z23" s="4"/>
    </row>
    <row r="24" spans="2:26" ht="17.100000000000001" customHeight="1">
      <c r="F24" s="4"/>
      <c r="G24" s="11"/>
      <c r="P24" s="283"/>
      <c r="Y24" s="4"/>
      <c r="Z24" s="4"/>
    </row>
    <row r="25" spans="2:26" ht="17.100000000000001" customHeight="1">
      <c r="F25" s="4"/>
      <c r="G25" s="11"/>
      <c r="P25" s="283"/>
      <c r="Y25" s="4"/>
      <c r="Z25" s="4"/>
    </row>
    <row r="26" spans="2:26" ht="17.100000000000001" customHeight="1">
      <c r="F26" s="4"/>
      <c r="G26" s="11"/>
      <c r="P26" s="283"/>
      <c r="Y26" s="4"/>
      <c r="Z26" s="4"/>
    </row>
    <row r="27" spans="2:26" ht="17.100000000000001" customHeight="1">
      <c r="F27" s="4"/>
      <c r="G27" s="11"/>
      <c r="P27" s="283"/>
      <c r="Y27" s="4"/>
      <c r="Z27" s="4"/>
    </row>
    <row r="28" spans="2:26" ht="17.100000000000001" customHeight="1">
      <c r="F28" s="4"/>
      <c r="G28" s="11"/>
      <c r="P28" s="283"/>
      <c r="Y28" s="4"/>
      <c r="Z28" s="4"/>
    </row>
    <row r="29" spans="2:26" ht="17.100000000000001" customHeight="1">
      <c r="F29" s="4"/>
      <c r="G29" s="11"/>
      <c r="P29" s="283"/>
      <c r="Y29" s="4"/>
      <c r="Z29" s="4"/>
    </row>
    <row r="30" spans="2:26" ht="17.100000000000001" customHeight="1">
      <c r="F30" s="4"/>
      <c r="G30" s="11"/>
      <c r="P30" s="283"/>
      <c r="Y30" s="4"/>
      <c r="Z30" s="4"/>
    </row>
    <row r="31" spans="2:26" ht="17.100000000000001" customHeight="1">
      <c r="F31" s="4"/>
      <c r="G31" s="11"/>
      <c r="P31" s="283"/>
      <c r="Y31" s="4"/>
      <c r="Z31" s="4"/>
    </row>
    <row r="32" spans="2:26" ht="17.100000000000001" customHeight="1">
      <c r="F32" s="4"/>
      <c r="G32" s="11"/>
      <c r="P32" s="283"/>
      <c r="Y32" s="4"/>
      <c r="Z32" s="4"/>
    </row>
    <row r="33" spans="6:26" ht="17.100000000000001" customHeight="1">
      <c r="F33" s="4"/>
      <c r="G33" s="11"/>
      <c r="P33" s="283"/>
      <c r="Y33" s="4"/>
      <c r="Z33" s="4"/>
    </row>
    <row r="34" spans="6:26" ht="17.100000000000001" customHeight="1">
      <c r="F34" s="4"/>
      <c r="G34" s="11"/>
      <c r="P34" s="283"/>
      <c r="Y34" s="4"/>
      <c r="Z34" s="4"/>
    </row>
    <row r="35" spans="6:26" ht="17.100000000000001" customHeight="1">
      <c r="F35" s="4"/>
      <c r="G35" s="11"/>
      <c r="P35" s="283"/>
      <c r="Y35" s="4"/>
      <c r="Z35" s="4"/>
    </row>
    <row r="36" spans="6:26" ht="17.100000000000001" customHeight="1">
      <c r="F36" s="4"/>
      <c r="G36" s="11"/>
      <c r="P36" s="283"/>
      <c r="Y36" s="4"/>
      <c r="Z36" s="4"/>
    </row>
    <row r="37" spans="6:26" ht="17.100000000000001" customHeight="1">
      <c r="F37" s="4"/>
      <c r="G37" s="11"/>
      <c r="P37" s="283"/>
      <c r="Y37" s="4"/>
      <c r="Z37" s="4"/>
    </row>
    <row r="38" spans="6:26" ht="17.100000000000001" customHeight="1">
      <c r="F38" s="4"/>
      <c r="G38" s="11"/>
      <c r="P38" s="283"/>
      <c r="Y38" s="4"/>
      <c r="Z38" s="4"/>
    </row>
    <row r="39" spans="6:26" ht="17.100000000000001" customHeight="1">
      <c r="F39" s="4"/>
      <c r="G39" s="11"/>
      <c r="P39" s="283"/>
      <c r="Y39" s="4"/>
      <c r="Z39" s="4"/>
    </row>
    <row r="40" spans="6:26" ht="17.100000000000001" customHeight="1">
      <c r="F40" s="4"/>
      <c r="G40" s="11"/>
      <c r="P40" s="283"/>
      <c r="Y40" s="4"/>
      <c r="Z40" s="4"/>
    </row>
    <row r="41" spans="6:26" ht="17.100000000000001" customHeight="1">
      <c r="F41" s="4"/>
      <c r="G41" s="11"/>
      <c r="P41" s="283"/>
      <c r="Y41" s="4"/>
      <c r="Z41" s="4"/>
    </row>
    <row r="42" spans="6:26" ht="17.100000000000001" customHeight="1">
      <c r="F42" s="4"/>
      <c r="G42" s="11"/>
      <c r="P42" s="283"/>
      <c r="Y42" s="4"/>
      <c r="Z42" s="4"/>
    </row>
    <row r="43" spans="6:26" ht="17.100000000000001" customHeight="1">
      <c r="F43" s="4"/>
      <c r="G43" s="11"/>
      <c r="P43" s="283"/>
      <c r="Y43" s="4"/>
      <c r="Z43" s="4"/>
    </row>
    <row r="44" spans="6:26" ht="17.100000000000001" customHeight="1">
      <c r="F44" s="4"/>
      <c r="G44" s="11"/>
      <c r="P44" s="283"/>
      <c r="Y44" s="4"/>
      <c r="Z44" s="4"/>
    </row>
    <row r="45" spans="6:26" ht="17.100000000000001" customHeight="1">
      <c r="F45" s="4"/>
      <c r="G45" s="11"/>
      <c r="P45" s="283"/>
      <c r="Y45" s="4"/>
      <c r="Z45" s="4"/>
    </row>
    <row r="46" spans="6:26" ht="17.100000000000001" customHeight="1">
      <c r="F46" s="4"/>
      <c r="G46" s="11"/>
      <c r="P46" s="283"/>
      <c r="Y46" s="4"/>
      <c r="Z46" s="4"/>
    </row>
    <row r="47" spans="6:26" ht="17.100000000000001" customHeight="1">
      <c r="F47" s="4"/>
      <c r="G47" s="11"/>
      <c r="P47" s="283"/>
      <c r="Y47" s="4"/>
      <c r="Z47" s="4"/>
    </row>
    <row r="48" spans="6:26" ht="17.100000000000001" customHeight="1">
      <c r="F48" s="4"/>
      <c r="G48" s="11"/>
      <c r="P48" s="283"/>
      <c r="Y48" s="4"/>
      <c r="Z48" s="4"/>
    </row>
    <row r="49" spans="6:26" ht="17.100000000000001" customHeight="1">
      <c r="F49" s="4"/>
      <c r="G49" s="11"/>
      <c r="P49" s="283"/>
      <c r="Y49" s="4"/>
      <c r="Z49" s="4"/>
    </row>
    <row r="50" spans="6:26" ht="17.100000000000001" customHeight="1">
      <c r="F50" s="4"/>
      <c r="G50" s="11"/>
      <c r="P50" s="283"/>
      <c r="Y50" s="4"/>
      <c r="Z50" s="4"/>
    </row>
    <row r="51" spans="6:26" ht="17.100000000000001" customHeight="1">
      <c r="F51" s="4"/>
      <c r="G51" s="11"/>
      <c r="P51" s="283"/>
      <c r="Y51" s="4"/>
      <c r="Z51" s="4"/>
    </row>
    <row r="52" spans="6:26" ht="17.100000000000001" customHeight="1">
      <c r="F52" s="4"/>
      <c r="G52" s="11"/>
      <c r="P52" s="276"/>
      <c r="Y52" s="4"/>
      <c r="Z52" s="4"/>
    </row>
    <row r="53" spans="6:26" ht="17.100000000000001" customHeight="1">
      <c r="F53" s="4"/>
      <c r="G53" s="11"/>
      <c r="P53" s="276"/>
      <c r="Y53" s="4"/>
      <c r="Z53" s="4"/>
    </row>
    <row r="54" spans="6:26" ht="17.100000000000001" customHeight="1">
      <c r="F54" s="4"/>
      <c r="G54" s="11"/>
      <c r="P54" s="276"/>
      <c r="Y54" s="4"/>
      <c r="Z54" s="4"/>
    </row>
    <row r="55" spans="6:26" ht="17.100000000000001" customHeight="1">
      <c r="F55" s="4"/>
      <c r="G55" s="11"/>
      <c r="P55" s="276"/>
      <c r="Y55" s="4"/>
      <c r="Z55" s="4"/>
    </row>
    <row r="56" spans="6:26" ht="17.100000000000001" customHeight="1">
      <c r="F56" s="4"/>
      <c r="G56" s="11"/>
      <c r="P56" s="276"/>
      <c r="Y56" s="4"/>
      <c r="Z56" s="4"/>
    </row>
    <row r="57" spans="6:26" ht="17.100000000000001" customHeight="1">
      <c r="F57" s="4"/>
      <c r="G57" s="11"/>
      <c r="P57" s="276"/>
      <c r="Y57" s="4"/>
      <c r="Z57" s="4"/>
    </row>
    <row r="58" spans="6:26" ht="17.100000000000001" customHeight="1">
      <c r="F58" s="4"/>
      <c r="G58" s="11"/>
      <c r="P58" s="276"/>
      <c r="Y58" s="4"/>
      <c r="Z58" s="4"/>
    </row>
    <row r="59" spans="6:26" ht="17.100000000000001" customHeight="1">
      <c r="F59" s="4"/>
      <c r="G59" s="11"/>
      <c r="P59" s="276"/>
      <c r="Y59" s="4"/>
      <c r="Z59" s="4"/>
    </row>
    <row r="60" spans="6:26" ht="17.100000000000001" customHeight="1">
      <c r="F60" s="4"/>
      <c r="G60" s="11"/>
      <c r="P60" s="276"/>
      <c r="Y60" s="4"/>
      <c r="Z60" s="4"/>
    </row>
    <row r="61" spans="6:26" ht="17.100000000000001" customHeight="1">
      <c r="F61" s="4"/>
      <c r="G61" s="11"/>
      <c r="P61" s="276"/>
      <c r="Y61" s="4"/>
      <c r="Z61" s="4"/>
    </row>
    <row r="62" spans="6:26" ht="17.100000000000001" customHeight="1">
      <c r="F62" s="4"/>
      <c r="G62" s="11"/>
      <c r="P62" s="276"/>
      <c r="Y62" s="4"/>
      <c r="Z62" s="4"/>
    </row>
    <row r="63" spans="6:26" ht="17.100000000000001" customHeight="1">
      <c r="F63" s="4"/>
      <c r="G63" s="11"/>
      <c r="P63" s="276"/>
      <c r="Y63" s="4"/>
      <c r="Z63" s="4"/>
    </row>
    <row r="64" spans="6:26" ht="17.100000000000001" customHeight="1">
      <c r="F64" s="4"/>
      <c r="G64" s="11"/>
      <c r="P64" s="276"/>
      <c r="Y64" s="4"/>
      <c r="Z64" s="4"/>
    </row>
    <row r="65" spans="6:26" ht="17.100000000000001" customHeight="1">
      <c r="F65" s="4"/>
      <c r="G65" s="11"/>
      <c r="Y65" s="4"/>
      <c r="Z65" s="4"/>
    </row>
    <row r="66" spans="6:26" ht="17.100000000000001" customHeight="1">
      <c r="F66" s="4"/>
      <c r="G66" s="11"/>
      <c r="Y66" s="4"/>
      <c r="Z66" s="4"/>
    </row>
    <row r="67" spans="6:26" ht="17.100000000000001" customHeight="1">
      <c r="F67" s="4"/>
      <c r="G67" s="11"/>
      <c r="Y67" s="4"/>
      <c r="Z67" s="4"/>
    </row>
    <row r="68" spans="6:26" ht="17.100000000000001" customHeight="1">
      <c r="F68" s="4"/>
      <c r="G68" s="11"/>
      <c r="Y68" s="4"/>
      <c r="Z68" s="4"/>
    </row>
    <row r="69" spans="6:26" ht="17.100000000000001" customHeight="1">
      <c r="F69" s="4"/>
      <c r="G69" s="11"/>
      <c r="Y69" s="4"/>
      <c r="Z69" s="4"/>
    </row>
    <row r="70" spans="6:26" ht="17.100000000000001" customHeight="1">
      <c r="F70" s="4"/>
      <c r="G70" s="11"/>
      <c r="Y70" s="4"/>
      <c r="Z70" s="4"/>
    </row>
    <row r="71" spans="6:26" ht="17.100000000000001" customHeight="1">
      <c r="F71" s="4"/>
      <c r="G71" s="11"/>
      <c r="Y71" s="4"/>
      <c r="Z71" s="4"/>
    </row>
    <row r="72" spans="6:26" ht="17.100000000000001" customHeight="1">
      <c r="F72" s="4"/>
      <c r="G72" s="11"/>
      <c r="Y72" s="4"/>
      <c r="Z72" s="4"/>
    </row>
    <row r="73" spans="6:26" ht="17.100000000000001" customHeight="1">
      <c r="F73" s="4"/>
      <c r="G73" s="11"/>
      <c r="Y73" s="4"/>
      <c r="Z73" s="4"/>
    </row>
  </sheetData>
  <mergeCells count="48">
    <mergeCell ref="C17:D17"/>
    <mergeCell ref="P19:P51"/>
    <mergeCell ref="B12:B13"/>
    <mergeCell ref="C12:D12"/>
    <mergeCell ref="J12:J14"/>
    <mergeCell ref="B14:B16"/>
    <mergeCell ref="C14:D14"/>
    <mergeCell ref="C15:C16"/>
    <mergeCell ref="I15:I18"/>
    <mergeCell ref="J15:K15"/>
    <mergeCell ref="J16:J18"/>
    <mergeCell ref="B17:B18"/>
    <mergeCell ref="B7:B9"/>
    <mergeCell ref="C7:D7"/>
    <mergeCell ref="I7:I10"/>
    <mergeCell ref="J7:K7"/>
    <mergeCell ref="C8:C9"/>
    <mergeCell ref="J8:J10"/>
    <mergeCell ref="B10:B11"/>
    <mergeCell ref="C10:D10"/>
    <mergeCell ref="I11:I14"/>
    <mergeCell ref="J11:K11"/>
    <mergeCell ref="L4:L5"/>
    <mergeCell ref="M4:M5"/>
    <mergeCell ref="N4:O4"/>
    <mergeCell ref="B6:D6"/>
    <mergeCell ref="I6:K6"/>
    <mergeCell ref="R6:S6"/>
    <mergeCell ref="R3:R4"/>
    <mergeCell ref="S3:S4"/>
    <mergeCell ref="T3:T4"/>
    <mergeCell ref="U3:U4"/>
    <mergeCell ref="V3:W3"/>
    <mergeCell ref="B4:B5"/>
    <mergeCell ref="C4:C5"/>
    <mergeCell ref="D4:D5"/>
    <mergeCell ref="E4:E5"/>
    <mergeCell ref="F4:F5"/>
    <mergeCell ref="B1:O1"/>
    <mergeCell ref="B2:D2"/>
    <mergeCell ref="N2:O2"/>
    <mergeCell ref="B3:H3"/>
    <mergeCell ref="I3:O3"/>
    <mergeCell ref="Q3:Q4"/>
    <mergeCell ref="G4:H4"/>
    <mergeCell ref="I4:I5"/>
    <mergeCell ref="J4:J5"/>
    <mergeCell ref="K4:K5"/>
  </mergeCells>
  <phoneticPr fontId="2" type="noConversion"/>
  <printOptions horizontalCentered="1"/>
  <pageMargins left="0.19685039370078741" right="0.19685039370078741" top="0.19685039370078741" bottom="0.19685039370078741" header="0" footer="0"/>
  <pageSetup paperSize="9" scale="82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Z228"/>
  <sheetViews>
    <sheetView view="pageBreakPreview" zoomScaleSheetLayoutView="100" workbookViewId="0">
      <pane xSplit="1" topLeftCell="B1" activePane="topRight" state="frozen"/>
      <selection pane="topRight" activeCell="C66" sqref="C66"/>
    </sheetView>
  </sheetViews>
  <sheetFormatPr defaultRowHeight="13.5"/>
  <cols>
    <col min="1" max="1" width="2.44140625" style="4" customWidth="1"/>
    <col min="2" max="3" width="9.44140625" style="275" customWidth="1"/>
    <col min="4" max="4" width="11.109375" style="275" customWidth="1"/>
    <col min="5" max="5" width="12" style="11" customWidth="1"/>
    <col min="6" max="6" width="12" style="17" customWidth="1"/>
    <col min="7" max="7" width="12" style="33" customWidth="1"/>
    <col min="8" max="8" width="7.6640625" style="4" customWidth="1"/>
    <col min="9" max="9" width="8.88671875" style="275" customWidth="1"/>
    <col min="10" max="10" width="9.44140625" style="275" customWidth="1"/>
    <col min="11" max="11" width="16.6640625" style="275" customWidth="1"/>
    <col min="12" max="14" width="12" style="11" customWidth="1"/>
    <col min="15" max="15" width="8.21875" style="477" customWidth="1"/>
    <col min="16" max="16" width="8.88671875" style="4"/>
    <col min="17" max="17" width="9.44140625" style="4" bestFit="1" customWidth="1"/>
    <col min="18" max="18" width="8.88671875" style="4"/>
    <col min="19" max="19" width="17.21875" style="4" bestFit="1" customWidth="1"/>
    <col min="20" max="23" width="8.88671875" style="4"/>
    <col min="24" max="24" width="27.33203125" style="4" bestFit="1" customWidth="1"/>
    <col min="25" max="25" width="34.33203125" style="17" bestFit="1" customWidth="1"/>
    <col min="26" max="26" width="13.6640625" style="27" bestFit="1" customWidth="1"/>
    <col min="27" max="16384" width="8.88671875" style="4"/>
  </cols>
  <sheetData>
    <row r="1" spans="2:26" ht="29.25" customHeight="1">
      <c r="B1" s="332" t="s">
        <v>372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2:26" ht="16.5" customHeight="1" thickBot="1">
      <c r="B2" s="342"/>
      <c r="C2" s="342"/>
      <c r="D2" s="342"/>
      <c r="E2" s="24"/>
      <c r="F2" s="28"/>
      <c r="G2" s="29"/>
      <c r="H2" s="7"/>
      <c r="I2" s="53"/>
      <c r="J2" s="53"/>
      <c r="K2" s="53"/>
      <c r="L2" s="24"/>
      <c r="M2" s="24"/>
      <c r="N2" s="371" t="s">
        <v>44</v>
      </c>
      <c r="O2" s="372"/>
      <c r="P2" s="5"/>
      <c r="Q2" s="5"/>
      <c r="R2" s="5"/>
      <c r="S2" s="5"/>
      <c r="T2" s="5"/>
      <c r="U2" s="5"/>
      <c r="V2" s="5"/>
      <c r="W2" s="5"/>
      <c r="X2" s="5"/>
    </row>
    <row r="3" spans="2:26" ht="15" customHeight="1">
      <c r="B3" s="321" t="s">
        <v>32</v>
      </c>
      <c r="C3" s="322"/>
      <c r="D3" s="322"/>
      <c r="E3" s="322"/>
      <c r="F3" s="322"/>
      <c r="G3" s="322"/>
      <c r="H3" s="322"/>
      <c r="I3" s="322" t="s">
        <v>33</v>
      </c>
      <c r="J3" s="322"/>
      <c r="K3" s="322"/>
      <c r="L3" s="322"/>
      <c r="M3" s="322"/>
      <c r="N3" s="322"/>
      <c r="O3" s="336"/>
      <c r="P3" s="5"/>
      <c r="Q3" s="323"/>
      <c r="R3" s="323"/>
      <c r="S3" s="323"/>
      <c r="T3" s="324"/>
      <c r="U3" s="324"/>
      <c r="V3" s="323"/>
      <c r="W3" s="323"/>
      <c r="X3" s="5"/>
    </row>
    <row r="4" spans="2:26" ht="20.25" customHeight="1">
      <c r="B4" s="326" t="s">
        <v>2</v>
      </c>
      <c r="C4" s="300" t="s">
        <v>3</v>
      </c>
      <c r="D4" s="300" t="s">
        <v>4</v>
      </c>
      <c r="E4" s="331" t="s">
        <v>230</v>
      </c>
      <c r="F4" s="331" t="s">
        <v>231</v>
      </c>
      <c r="G4" s="300" t="s">
        <v>5</v>
      </c>
      <c r="H4" s="300"/>
      <c r="I4" s="300" t="s">
        <v>2</v>
      </c>
      <c r="J4" s="300" t="s">
        <v>3</v>
      </c>
      <c r="K4" s="300" t="s">
        <v>4</v>
      </c>
      <c r="L4" s="331" t="s">
        <v>230</v>
      </c>
      <c r="M4" s="331" t="s">
        <v>231</v>
      </c>
      <c r="N4" s="300" t="s">
        <v>5</v>
      </c>
      <c r="O4" s="373"/>
      <c r="P4" s="5"/>
      <c r="Q4" s="284"/>
      <c r="R4" s="284"/>
      <c r="S4" s="284"/>
      <c r="T4" s="284"/>
      <c r="U4" s="284"/>
      <c r="V4" s="269"/>
      <c r="W4" s="269"/>
      <c r="X4" s="5"/>
    </row>
    <row r="5" spans="2:26" ht="20.25" customHeight="1" thickBot="1">
      <c r="B5" s="327"/>
      <c r="C5" s="328"/>
      <c r="D5" s="328"/>
      <c r="E5" s="328"/>
      <c r="F5" s="328"/>
      <c r="G5" s="30" t="s">
        <v>6</v>
      </c>
      <c r="H5" s="268" t="s">
        <v>7</v>
      </c>
      <c r="I5" s="328"/>
      <c r="J5" s="328"/>
      <c r="K5" s="328"/>
      <c r="L5" s="328"/>
      <c r="M5" s="328"/>
      <c r="N5" s="374" t="s">
        <v>6</v>
      </c>
      <c r="O5" s="421" t="s">
        <v>7</v>
      </c>
      <c r="P5" s="5"/>
      <c r="Q5" s="77"/>
      <c r="R5" s="77"/>
      <c r="S5" s="77"/>
      <c r="T5" s="5"/>
      <c r="U5" s="5"/>
      <c r="V5" s="5"/>
      <c r="W5" s="5"/>
      <c r="X5" s="5"/>
    </row>
    <row r="6" spans="2:26" s="413" customFormat="1" ht="15.75" customHeight="1" thickBot="1">
      <c r="B6" s="422" t="s">
        <v>34</v>
      </c>
      <c r="C6" s="423"/>
      <c r="D6" s="423"/>
      <c r="E6" s="143">
        <f>E7+E10+E13+E16+E19</f>
        <v>398715000</v>
      </c>
      <c r="F6" s="143">
        <f>F7+F10+F13+F16+F19</f>
        <v>427228000</v>
      </c>
      <c r="G6" s="143">
        <f>F6-E6</f>
        <v>28513000</v>
      </c>
      <c r="H6" s="424">
        <f>F6/E6*100-100</f>
        <v>7.151223304866889</v>
      </c>
      <c r="I6" s="422" t="s">
        <v>34</v>
      </c>
      <c r="J6" s="423"/>
      <c r="K6" s="423"/>
      <c r="L6" s="143">
        <f>L7+L24+L29+L51+L54+L57+L60+L63+L66</f>
        <v>398715000</v>
      </c>
      <c r="M6" s="143">
        <f>M7+M24+M29+M51+M54+M57+M60+M63+M66</f>
        <v>427228000</v>
      </c>
      <c r="N6" s="143">
        <f>M6-L6</f>
        <v>28513000</v>
      </c>
      <c r="O6" s="424">
        <f>M6/L6*100-100</f>
        <v>7.151223304866889</v>
      </c>
      <c r="P6" s="425">
        <f>M6-F6</f>
        <v>0</v>
      </c>
      <c r="Q6" s="426"/>
      <c r="R6" s="427"/>
      <c r="S6" s="427"/>
      <c r="T6" s="426"/>
      <c r="U6" s="426"/>
      <c r="V6" s="426"/>
      <c r="W6" s="426"/>
      <c r="X6" s="426"/>
      <c r="Y6" s="428"/>
      <c r="Z6" s="429"/>
    </row>
    <row r="7" spans="2:26" s="413" customFormat="1" ht="16.5" customHeight="1">
      <c r="B7" s="430" t="s">
        <v>385</v>
      </c>
      <c r="C7" s="431" t="s">
        <v>10</v>
      </c>
      <c r="D7" s="432"/>
      <c r="E7" s="145">
        <f>E8</f>
        <v>27181080</v>
      </c>
      <c r="F7" s="145">
        <f>F8</f>
        <v>29290920</v>
      </c>
      <c r="G7" s="146">
        <f>F7-E7</f>
        <v>2109840</v>
      </c>
      <c r="H7" s="433">
        <f>F7/E7*100-100</f>
        <v>7.7621639758243646</v>
      </c>
      <c r="I7" s="343" t="s">
        <v>180</v>
      </c>
      <c r="J7" s="431" t="s">
        <v>10</v>
      </c>
      <c r="K7" s="434"/>
      <c r="L7" s="145">
        <f>SUM(L8,L14,L17)</f>
        <v>318203070</v>
      </c>
      <c r="M7" s="145">
        <f>SUM(M8,M14,M17)</f>
        <v>365399740</v>
      </c>
      <c r="N7" s="145">
        <f t="shared" ref="N7:N40" si="0">M7-L7</f>
        <v>47196670</v>
      </c>
      <c r="O7" s="433">
        <f>M7/L7*100-100</f>
        <v>14.832248475792525</v>
      </c>
      <c r="P7" s="426"/>
      <c r="Q7" s="426"/>
      <c r="R7" s="426"/>
      <c r="S7" s="426"/>
      <c r="T7" s="426"/>
      <c r="U7" s="426"/>
      <c r="V7" s="426"/>
      <c r="W7" s="426"/>
      <c r="X7" s="426"/>
      <c r="Y7" s="428"/>
      <c r="Z7" s="429"/>
    </row>
    <row r="8" spans="2:26" s="413" customFormat="1" ht="16.5" customHeight="1">
      <c r="B8" s="435"/>
      <c r="C8" s="436" t="s">
        <v>387</v>
      </c>
      <c r="D8" s="270" t="s">
        <v>69</v>
      </c>
      <c r="E8" s="141">
        <f>E9</f>
        <v>27181080</v>
      </c>
      <c r="F8" s="141">
        <f>F9</f>
        <v>29290920</v>
      </c>
      <c r="G8" s="146">
        <f t="shared" ref="G8:G23" si="1">F8-E8</f>
        <v>2109840</v>
      </c>
      <c r="H8" s="387">
        <f t="shared" ref="H8:H21" si="2">F8/E8*100-100</f>
        <v>7.7621639758243646</v>
      </c>
      <c r="I8" s="294"/>
      <c r="J8" s="296" t="s">
        <v>14</v>
      </c>
      <c r="K8" s="270" t="s">
        <v>9</v>
      </c>
      <c r="L8" s="141">
        <f>SUM(L9:L13)</f>
        <v>297663070</v>
      </c>
      <c r="M8" s="141">
        <f>SUM(M9:M13)</f>
        <v>350329740</v>
      </c>
      <c r="N8" s="141">
        <f t="shared" si="0"/>
        <v>52666670</v>
      </c>
      <c r="O8" s="390">
        <f t="shared" ref="O8:O13" si="3">M8/L8*100-100</f>
        <v>17.693383999567033</v>
      </c>
      <c r="P8" s="426"/>
      <c r="Q8" s="426"/>
      <c r="R8" s="426"/>
      <c r="S8" s="426"/>
      <c r="T8" s="426"/>
      <c r="U8" s="426"/>
      <c r="V8" s="426"/>
      <c r="W8" s="426"/>
      <c r="X8" s="426"/>
      <c r="Y8" s="428"/>
      <c r="Z8" s="429"/>
    </row>
    <row r="9" spans="2:26" s="413" customFormat="1" ht="16.5" customHeight="1">
      <c r="B9" s="437"/>
      <c r="C9" s="307"/>
      <c r="D9" s="270" t="s">
        <v>390</v>
      </c>
      <c r="E9" s="141">
        <f>[2]세입!E8</f>
        <v>27181080</v>
      </c>
      <c r="F9" s="141">
        <f>[2]세입!F8</f>
        <v>29290920</v>
      </c>
      <c r="G9" s="146">
        <f t="shared" si="1"/>
        <v>2109840</v>
      </c>
      <c r="H9" s="387">
        <f t="shared" si="2"/>
        <v>7.7621639758243646</v>
      </c>
      <c r="I9" s="294"/>
      <c r="J9" s="297"/>
      <c r="K9" s="270" t="str">
        <f>[2]세출!D8</f>
        <v>급여</v>
      </c>
      <c r="L9" s="141">
        <f>[2]세출!E8</f>
        <v>243924070</v>
      </c>
      <c r="M9" s="141">
        <f>[2]세출!F8</f>
        <v>280536720</v>
      </c>
      <c r="N9" s="141">
        <f t="shared" si="0"/>
        <v>36612650</v>
      </c>
      <c r="O9" s="390">
        <f>M9/L9*100-100</f>
        <v>15.009855320961151</v>
      </c>
      <c r="P9" s="426"/>
      <c r="Q9" s="426"/>
      <c r="R9" s="426"/>
      <c r="S9" s="426"/>
      <c r="T9" s="426"/>
      <c r="U9" s="426"/>
      <c r="V9" s="426"/>
      <c r="W9" s="426"/>
      <c r="X9" s="426"/>
      <c r="Y9" s="428"/>
      <c r="Z9" s="429"/>
    </row>
    <row r="10" spans="2:26" s="413" customFormat="1" ht="16.5" customHeight="1">
      <c r="B10" s="438" t="s">
        <v>391</v>
      </c>
      <c r="C10" s="291" t="s">
        <v>10</v>
      </c>
      <c r="D10" s="292"/>
      <c r="E10" s="140">
        <f>E11</f>
        <v>319234080</v>
      </c>
      <c r="F10" s="140">
        <f>F11</f>
        <v>345226200</v>
      </c>
      <c r="G10" s="146">
        <f t="shared" si="1"/>
        <v>25992120</v>
      </c>
      <c r="H10" s="387">
        <f t="shared" si="2"/>
        <v>8.1420254378855788</v>
      </c>
      <c r="I10" s="294"/>
      <c r="J10" s="297"/>
      <c r="K10" s="270" t="str">
        <f>[2]세출!D12</f>
        <v>제수당</v>
      </c>
      <c r="L10" s="141">
        <f>[2]세출!E12</f>
        <v>3872680</v>
      </c>
      <c r="M10" s="141">
        <f>[2]세출!F12</f>
        <v>15147880</v>
      </c>
      <c r="N10" s="141">
        <f t="shared" si="0"/>
        <v>11275200</v>
      </c>
      <c r="O10" s="390">
        <f>M10/L10*100-100</f>
        <v>291.14721588150843</v>
      </c>
      <c r="P10" s="426"/>
      <c r="Q10" s="425">
        <f>L6-E6</f>
        <v>0</v>
      </c>
      <c r="R10" s="426"/>
      <c r="S10" s="426"/>
      <c r="T10" s="426"/>
      <c r="U10" s="426"/>
      <c r="V10" s="426"/>
      <c r="W10" s="426"/>
      <c r="X10" s="426"/>
      <c r="Y10" s="428"/>
      <c r="Z10" s="429"/>
    </row>
    <row r="11" spans="2:26" s="413" customFormat="1" ht="16.5" customHeight="1">
      <c r="B11" s="304"/>
      <c r="C11" s="436" t="s">
        <v>391</v>
      </c>
      <c r="D11" s="270" t="s">
        <v>69</v>
      </c>
      <c r="E11" s="140">
        <f>E12</f>
        <v>319234080</v>
      </c>
      <c r="F11" s="140">
        <f>F12</f>
        <v>345226200</v>
      </c>
      <c r="G11" s="146">
        <f t="shared" si="1"/>
        <v>25992120</v>
      </c>
      <c r="H11" s="387">
        <f t="shared" si="2"/>
        <v>8.1420254378855788</v>
      </c>
      <c r="I11" s="294"/>
      <c r="J11" s="297"/>
      <c r="K11" s="270" t="str">
        <f>[2]세출!D27</f>
        <v>퇴직금 및 퇴직적립금</v>
      </c>
      <c r="L11" s="141">
        <f>[2]세출!E27</f>
        <v>20649720</v>
      </c>
      <c r="M11" s="141">
        <f>[2]세출!F27</f>
        <v>24640380</v>
      </c>
      <c r="N11" s="141">
        <f t="shared" si="0"/>
        <v>3990660</v>
      </c>
      <c r="O11" s="390">
        <f t="shared" ref="O11:O12" si="4">M11/L11*100-100</f>
        <v>19.325492064783447</v>
      </c>
      <c r="P11" s="426"/>
      <c r="Q11" s="439"/>
      <c r="R11" s="426"/>
      <c r="S11" s="426"/>
      <c r="T11" s="426"/>
      <c r="U11" s="426"/>
      <c r="V11" s="426"/>
      <c r="W11" s="426"/>
      <c r="X11" s="426"/>
      <c r="Y11" s="428"/>
      <c r="Z11" s="429"/>
    </row>
    <row r="12" spans="2:26" s="413" customFormat="1" ht="16.5" customHeight="1">
      <c r="B12" s="305"/>
      <c r="C12" s="440"/>
      <c r="D12" s="270" t="s">
        <v>392</v>
      </c>
      <c r="E12" s="140">
        <f>[2]세입!E10</f>
        <v>319234080</v>
      </c>
      <c r="F12" s="140">
        <f>[2]세입!F10</f>
        <v>345226200</v>
      </c>
      <c r="G12" s="146">
        <f t="shared" si="1"/>
        <v>25992120</v>
      </c>
      <c r="H12" s="387">
        <f t="shared" si="2"/>
        <v>8.1420254378855788</v>
      </c>
      <c r="I12" s="294"/>
      <c r="J12" s="297"/>
      <c r="K12" s="270" t="str">
        <f>[2]세출!D29</f>
        <v>사회보험부담금</v>
      </c>
      <c r="L12" s="141">
        <f>[2]세출!E29</f>
        <v>22816600</v>
      </c>
      <c r="M12" s="141">
        <f>[2]세출!F29</f>
        <v>27304760</v>
      </c>
      <c r="N12" s="141">
        <f t="shared" si="0"/>
        <v>4488160</v>
      </c>
      <c r="O12" s="390">
        <f t="shared" si="4"/>
        <v>19.67059071027235</v>
      </c>
      <c r="P12" s="426"/>
      <c r="Q12" s="426"/>
      <c r="R12" s="426"/>
      <c r="S12" s="426"/>
      <c r="T12" s="426"/>
      <c r="U12" s="426"/>
      <c r="V12" s="426"/>
      <c r="W12" s="426"/>
      <c r="X12" s="426"/>
      <c r="Y12" s="428"/>
      <c r="Z12" s="429"/>
    </row>
    <row r="13" spans="2:26" s="413" customFormat="1" ht="16.5" customHeight="1">
      <c r="B13" s="303" t="str">
        <f>[2]세입!B12</f>
        <v>이월금</v>
      </c>
      <c r="C13" s="291" t="s">
        <v>10</v>
      </c>
      <c r="D13" s="441"/>
      <c r="E13" s="140">
        <f>E15</f>
        <v>20261277</v>
      </c>
      <c r="F13" s="140">
        <f>F15</f>
        <v>25000000</v>
      </c>
      <c r="G13" s="146">
        <f t="shared" si="1"/>
        <v>4738723</v>
      </c>
      <c r="H13" s="387">
        <f t="shared" si="2"/>
        <v>23.38807667453537</v>
      </c>
      <c r="I13" s="294"/>
      <c r="J13" s="298"/>
      <c r="K13" s="270" t="str">
        <f>[2]세출!D35</f>
        <v>기타후생경비</v>
      </c>
      <c r="L13" s="141">
        <f>[2]세출!E35</f>
        <v>6400000</v>
      </c>
      <c r="M13" s="141">
        <f>[2]세출!F35</f>
        <v>2700000</v>
      </c>
      <c r="N13" s="141">
        <f t="shared" si="0"/>
        <v>-3700000</v>
      </c>
      <c r="O13" s="390">
        <f t="shared" si="3"/>
        <v>-57.8125</v>
      </c>
      <c r="P13" s="426"/>
      <c r="Q13" s="426"/>
      <c r="R13" s="426"/>
      <c r="S13" s="426"/>
      <c r="T13" s="426"/>
      <c r="U13" s="426"/>
      <c r="V13" s="426"/>
      <c r="W13" s="426"/>
      <c r="X13" s="426"/>
      <c r="Y13" s="428"/>
      <c r="Z13" s="429"/>
    </row>
    <row r="14" spans="2:26" s="413" customFormat="1" ht="16.5" customHeight="1">
      <c r="B14" s="435"/>
      <c r="C14" s="442" t="str">
        <f>[2]세입!C12</f>
        <v>이월금</v>
      </c>
      <c r="D14" s="273" t="s">
        <v>69</v>
      </c>
      <c r="E14" s="140">
        <f>E15</f>
        <v>20261277</v>
      </c>
      <c r="F14" s="140">
        <f>F15</f>
        <v>25000000</v>
      </c>
      <c r="G14" s="146">
        <f t="shared" si="1"/>
        <v>4738723</v>
      </c>
      <c r="H14" s="387">
        <f t="shared" si="2"/>
        <v>23.38807667453537</v>
      </c>
      <c r="I14" s="294"/>
      <c r="J14" s="296" t="s">
        <v>131</v>
      </c>
      <c r="K14" s="270" t="s">
        <v>9</v>
      </c>
      <c r="L14" s="141">
        <f>SUM(L15:L16)</f>
        <v>2800000</v>
      </c>
      <c r="M14" s="141">
        <f>SUM(M15:M16)</f>
        <v>2200000</v>
      </c>
      <c r="N14" s="141">
        <f t="shared" si="0"/>
        <v>-600000</v>
      </c>
      <c r="O14" s="390">
        <f>M14/L14*100-100</f>
        <v>-21.428571428571431</v>
      </c>
      <c r="P14" s="426"/>
      <c r="Q14" s="426"/>
      <c r="R14" s="426"/>
      <c r="S14" s="426"/>
      <c r="T14" s="426"/>
      <c r="U14" s="426"/>
      <c r="V14" s="426"/>
      <c r="W14" s="426"/>
      <c r="X14" s="426"/>
      <c r="Y14" s="428"/>
      <c r="Z14" s="429"/>
    </row>
    <row r="15" spans="2:26" s="413" customFormat="1" ht="16.5" customHeight="1">
      <c r="B15" s="437"/>
      <c r="C15" s="443"/>
      <c r="D15" s="270" t="s">
        <v>42</v>
      </c>
      <c r="E15" s="141">
        <f>[2]세입!E13</f>
        <v>20261277</v>
      </c>
      <c r="F15" s="141">
        <f>[2]세입!F13</f>
        <v>25000000</v>
      </c>
      <c r="G15" s="146">
        <f>F15-E15</f>
        <v>4738723</v>
      </c>
      <c r="H15" s="387">
        <f t="shared" si="2"/>
        <v>23.38807667453537</v>
      </c>
      <c r="I15" s="294"/>
      <c r="J15" s="297"/>
      <c r="K15" s="270" t="str">
        <f>[2]세출!D40</f>
        <v>기관운영비</v>
      </c>
      <c r="L15" s="141">
        <f>[2]세출!E40</f>
        <v>1600000</v>
      </c>
      <c r="M15" s="141">
        <f>[2]세출!F40</f>
        <v>1000000</v>
      </c>
      <c r="N15" s="141">
        <f t="shared" si="0"/>
        <v>-600000</v>
      </c>
      <c r="O15" s="390">
        <f>M15/L15*100-100</f>
        <v>-37.5</v>
      </c>
      <c r="P15" s="426"/>
      <c r="Q15" s="426"/>
      <c r="R15" s="426"/>
      <c r="S15" s="426"/>
      <c r="T15" s="426"/>
      <c r="U15" s="426"/>
      <c r="V15" s="426"/>
      <c r="W15" s="426"/>
      <c r="X15" s="426"/>
      <c r="Y15" s="428"/>
      <c r="Z15" s="429"/>
    </row>
    <row r="16" spans="2:26" s="413" customFormat="1" ht="16.5" customHeight="1">
      <c r="B16" s="303" t="s">
        <v>394</v>
      </c>
      <c r="C16" s="291" t="s">
        <v>10</v>
      </c>
      <c r="D16" s="441"/>
      <c r="E16" s="141">
        <f>E17</f>
        <v>22377160</v>
      </c>
      <c r="F16" s="141">
        <f>F17</f>
        <v>25000000</v>
      </c>
      <c r="G16" s="146">
        <f t="shared" si="1"/>
        <v>2622840</v>
      </c>
      <c r="H16" s="387">
        <f t="shared" si="2"/>
        <v>11.721058436369944</v>
      </c>
      <c r="I16" s="294"/>
      <c r="J16" s="298"/>
      <c r="K16" s="270" t="str">
        <f>[2]세출!D41</f>
        <v>회의비</v>
      </c>
      <c r="L16" s="141">
        <f>[2]세출!E41</f>
        <v>1200000</v>
      </c>
      <c r="M16" s="141">
        <f>[2]세출!F41</f>
        <v>1200000</v>
      </c>
      <c r="N16" s="141">
        <f t="shared" si="0"/>
        <v>0</v>
      </c>
      <c r="O16" s="390">
        <f t="shared" ref="O16:O48" si="5">M16/L16*100-100</f>
        <v>0</v>
      </c>
      <c r="P16" s="426"/>
      <c r="Q16" s="426"/>
      <c r="R16" s="426"/>
      <c r="S16" s="426"/>
      <c r="T16" s="426"/>
      <c r="U16" s="426"/>
      <c r="V16" s="426"/>
      <c r="W16" s="426"/>
      <c r="X16" s="426"/>
      <c r="Y16" s="428"/>
      <c r="Z16" s="429"/>
    </row>
    <row r="17" spans="2:26" s="428" customFormat="1" ht="16.5" customHeight="1">
      <c r="B17" s="435"/>
      <c r="C17" s="306" t="s">
        <v>394</v>
      </c>
      <c r="D17" s="270" t="s">
        <v>69</v>
      </c>
      <c r="E17" s="141">
        <f>E18</f>
        <v>22377160</v>
      </c>
      <c r="F17" s="141">
        <f>F18</f>
        <v>25000000</v>
      </c>
      <c r="G17" s="146">
        <f t="shared" si="1"/>
        <v>2622840</v>
      </c>
      <c r="H17" s="387">
        <f t="shared" si="2"/>
        <v>11.721058436369944</v>
      </c>
      <c r="I17" s="294"/>
      <c r="J17" s="296" t="s">
        <v>132</v>
      </c>
      <c r="K17" s="270" t="s">
        <v>9</v>
      </c>
      <c r="L17" s="141">
        <f>SUM(L18:L23)</f>
        <v>17740000</v>
      </c>
      <c r="M17" s="141">
        <f>SUM(M18:M23)</f>
        <v>12870000</v>
      </c>
      <c r="N17" s="141">
        <f t="shared" si="0"/>
        <v>-4870000</v>
      </c>
      <c r="O17" s="390">
        <f t="shared" si="5"/>
        <v>-27.452085682074411</v>
      </c>
      <c r="P17" s="426"/>
      <c r="Q17" s="426"/>
      <c r="R17" s="426"/>
      <c r="S17" s="426"/>
      <c r="T17" s="426"/>
      <c r="U17" s="426"/>
      <c r="V17" s="426"/>
      <c r="W17" s="426"/>
      <c r="X17" s="426"/>
      <c r="Z17" s="429"/>
    </row>
    <row r="18" spans="2:26" s="428" customFormat="1" ht="16.5" customHeight="1">
      <c r="B18" s="437"/>
      <c r="C18" s="440"/>
      <c r="D18" s="270" t="s">
        <v>394</v>
      </c>
      <c r="E18" s="141">
        <f>[2]세입!E15</f>
        <v>22377160</v>
      </c>
      <c r="F18" s="141">
        <f>[2]세입!F15</f>
        <v>25000000</v>
      </c>
      <c r="G18" s="146">
        <f t="shared" si="1"/>
        <v>2622840</v>
      </c>
      <c r="H18" s="387">
        <f t="shared" si="2"/>
        <v>11.721058436369944</v>
      </c>
      <c r="I18" s="294"/>
      <c r="J18" s="297"/>
      <c r="K18" s="270" t="str">
        <f>[2]세출!D43</f>
        <v>여비</v>
      </c>
      <c r="L18" s="141">
        <f>[2]세출!E43</f>
        <v>1000000</v>
      </c>
      <c r="M18" s="141">
        <f>[2]세출!F43</f>
        <v>600000</v>
      </c>
      <c r="N18" s="141">
        <f t="shared" si="0"/>
        <v>-400000</v>
      </c>
      <c r="O18" s="390">
        <f t="shared" si="5"/>
        <v>-40</v>
      </c>
      <c r="P18" s="426"/>
      <c r="Q18" s="426"/>
      <c r="R18" s="426"/>
      <c r="S18" s="426"/>
      <c r="T18" s="426"/>
      <c r="U18" s="426"/>
      <c r="V18" s="426"/>
      <c r="W18" s="426"/>
      <c r="X18" s="426"/>
      <c r="Z18" s="429"/>
    </row>
    <row r="19" spans="2:26" s="428" customFormat="1" ht="16.5" customHeight="1">
      <c r="B19" s="271" t="str">
        <f>[2]세입!B16</f>
        <v>잡수입</v>
      </c>
      <c r="C19" s="291" t="s">
        <v>10</v>
      </c>
      <c r="D19" s="441"/>
      <c r="E19" s="141">
        <f>E20</f>
        <v>9661403</v>
      </c>
      <c r="F19" s="141">
        <f>F20</f>
        <v>2710880</v>
      </c>
      <c r="G19" s="146">
        <f t="shared" si="1"/>
        <v>-6950523</v>
      </c>
      <c r="H19" s="387">
        <f t="shared" si="2"/>
        <v>-71.941135257477612</v>
      </c>
      <c r="I19" s="294"/>
      <c r="J19" s="297"/>
      <c r="K19" s="270" t="str">
        <f>[2]세출!D44</f>
        <v>수용비및수수료</v>
      </c>
      <c r="L19" s="141">
        <f>[2]세출!E44</f>
        <v>3000000</v>
      </c>
      <c r="M19" s="141">
        <f>[2]세출!F44</f>
        <v>3800000</v>
      </c>
      <c r="N19" s="141">
        <f t="shared" si="0"/>
        <v>800000</v>
      </c>
      <c r="O19" s="390">
        <f t="shared" si="5"/>
        <v>26.666666666666657</v>
      </c>
      <c r="P19" s="426"/>
      <c r="Q19" s="426"/>
      <c r="R19" s="426"/>
      <c r="S19" s="426"/>
      <c r="T19" s="426"/>
      <c r="U19" s="426"/>
      <c r="V19" s="426"/>
      <c r="W19" s="426"/>
      <c r="X19" s="426"/>
      <c r="Z19" s="429"/>
    </row>
    <row r="20" spans="2:26" s="428" customFormat="1" ht="16.5" customHeight="1">
      <c r="B20" s="271"/>
      <c r="C20" s="270" t="str">
        <f>[2]세입!C16</f>
        <v>잡수입</v>
      </c>
      <c r="D20" s="270" t="s">
        <v>69</v>
      </c>
      <c r="E20" s="141">
        <f>E21</f>
        <v>9661403</v>
      </c>
      <c r="F20" s="141">
        <f>SUM(F21:F23)</f>
        <v>2710880</v>
      </c>
      <c r="G20" s="146">
        <f t="shared" si="1"/>
        <v>-6950523</v>
      </c>
      <c r="H20" s="387">
        <f t="shared" si="2"/>
        <v>-71.941135257477612</v>
      </c>
      <c r="I20" s="294"/>
      <c r="J20" s="297"/>
      <c r="K20" s="270" t="str">
        <f>[2]세출!D47</f>
        <v>공공요금</v>
      </c>
      <c r="L20" s="141">
        <f>[2]세출!E47</f>
        <v>1640000</v>
      </c>
      <c r="M20" s="141">
        <f>[2]세출!F47</f>
        <v>970000</v>
      </c>
      <c r="N20" s="141">
        <f t="shared" si="0"/>
        <v>-670000</v>
      </c>
      <c r="O20" s="390">
        <f t="shared" si="5"/>
        <v>-40.853658536585371</v>
      </c>
      <c r="P20" s="426"/>
      <c r="Q20" s="426"/>
      <c r="R20" s="426"/>
      <c r="S20" s="426"/>
      <c r="T20" s="426"/>
      <c r="U20" s="426"/>
      <c r="V20" s="426"/>
      <c r="W20" s="426"/>
      <c r="X20" s="426"/>
      <c r="Z20" s="429"/>
    </row>
    <row r="21" spans="2:26" s="428" customFormat="1" ht="16.5" customHeight="1">
      <c r="B21" s="271"/>
      <c r="C21" s="270"/>
      <c r="D21" s="270" t="s">
        <v>395</v>
      </c>
      <c r="E21" s="141">
        <f>[2]세입!E17</f>
        <v>9661403</v>
      </c>
      <c r="F21" s="141">
        <f>[2]세입!F17</f>
        <v>1950000</v>
      </c>
      <c r="G21" s="146">
        <f t="shared" si="1"/>
        <v>-7711403</v>
      </c>
      <c r="H21" s="387">
        <f t="shared" si="2"/>
        <v>-79.81659599542634</v>
      </c>
      <c r="I21" s="294"/>
      <c r="J21" s="297"/>
      <c r="K21" s="270" t="str">
        <f>[2]세출!D51</f>
        <v>제세공과금</v>
      </c>
      <c r="L21" s="141">
        <f>[2]세출!E51</f>
        <v>2800000</v>
      </c>
      <c r="M21" s="141">
        <f>[2]세출!F51</f>
        <v>2700000</v>
      </c>
      <c r="N21" s="141">
        <f t="shared" si="0"/>
        <v>-100000</v>
      </c>
      <c r="O21" s="390">
        <f t="shared" si="5"/>
        <v>-3.5714285714285694</v>
      </c>
      <c r="P21" s="426"/>
      <c r="Q21" s="426"/>
      <c r="R21" s="426"/>
      <c r="S21" s="426"/>
      <c r="T21" s="426"/>
      <c r="U21" s="426"/>
      <c r="V21" s="426"/>
      <c r="W21" s="426"/>
      <c r="X21" s="426"/>
      <c r="Z21" s="429"/>
    </row>
    <row r="22" spans="2:26" s="428" customFormat="1" ht="16.5" customHeight="1">
      <c r="B22" s="271"/>
      <c r="C22" s="270"/>
      <c r="D22" s="270" t="s">
        <v>396</v>
      </c>
      <c r="E22" s="141">
        <f>[2]세입!E18</f>
        <v>0</v>
      </c>
      <c r="F22" s="141">
        <f>[2]세입!F18</f>
        <v>40880</v>
      </c>
      <c r="G22" s="146">
        <f t="shared" si="1"/>
        <v>40880</v>
      </c>
      <c r="H22" s="387">
        <v>0</v>
      </c>
      <c r="I22" s="294"/>
      <c r="J22" s="297"/>
      <c r="K22" s="274" t="str">
        <f>[2]세출!D56</f>
        <v>차량비</v>
      </c>
      <c r="L22" s="141">
        <f>[2]세출!E56</f>
        <v>2300000</v>
      </c>
      <c r="M22" s="141">
        <f>[2]세출!F56</f>
        <v>1600000</v>
      </c>
      <c r="N22" s="141">
        <f t="shared" si="0"/>
        <v>-700000</v>
      </c>
      <c r="O22" s="390">
        <f t="shared" si="5"/>
        <v>-30.434782608695656</v>
      </c>
      <c r="P22" s="426"/>
      <c r="Q22" s="426"/>
      <c r="R22" s="426"/>
      <c r="S22" s="426"/>
      <c r="T22" s="426"/>
      <c r="U22" s="426"/>
      <c r="V22" s="426"/>
      <c r="W22" s="426"/>
      <c r="X22" s="426"/>
      <c r="Z22" s="429"/>
    </row>
    <row r="23" spans="2:26" s="428" customFormat="1" ht="16.5" customHeight="1">
      <c r="B23" s="271"/>
      <c r="C23" s="270"/>
      <c r="D23" s="270" t="s">
        <v>397</v>
      </c>
      <c r="E23" s="141">
        <f>[2]세입!E19</f>
        <v>0</v>
      </c>
      <c r="F23" s="141">
        <f>[2]세입!F19</f>
        <v>720000</v>
      </c>
      <c r="G23" s="146">
        <f t="shared" si="1"/>
        <v>720000</v>
      </c>
      <c r="H23" s="387">
        <v>0</v>
      </c>
      <c r="I23" s="295"/>
      <c r="J23" s="298"/>
      <c r="K23" s="274" t="s">
        <v>399</v>
      </c>
      <c r="L23" s="141">
        <f>[2]세출!E59</f>
        <v>7000000</v>
      </c>
      <c r="M23" s="141">
        <f>[2]세출!F59</f>
        <v>3200000</v>
      </c>
      <c r="N23" s="141">
        <f t="shared" si="0"/>
        <v>-3800000</v>
      </c>
      <c r="O23" s="390">
        <f t="shared" si="5"/>
        <v>-54.285714285714285</v>
      </c>
      <c r="P23" s="426"/>
      <c r="Q23" s="426"/>
      <c r="R23" s="426"/>
      <c r="S23" s="426"/>
      <c r="T23" s="426"/>
      <c r="U23" s="426"/>
      <c r="V23" s="426"/>
      <c r="W23" s="426"/>
      <c r="X23" s="426"/>
      <c r="Z23" s="429"/>
    </row>
    <row r="24" spans="2:26" s="428" customFormat="1" ht="16.5" customHeight="1">
      <c r="B24" s="444"/>
      <c r="C24" s="140"/>
      <c r="D24" s="141"/>
      <c r="E24" s="141"/>
      <c r="F24" s="141"/>
      <c r="G24" s="148"/>
      <c r="H24" s="387"/>
      <c r="I24" s="293" t="str">
        <f>[2]세출!B62</f>
        <v>재산조성비</v>
      </c>
      <c r="J24" s="290" t="s">
        <v>386</v>
      </c>
      <c r="K24" s="290"/>
      <c r="L24" s="141">
        <f>L25</f>
        <v>4000000</v>
      </c>
      <c r="M24" s="141">
        <f>M25</f>
        <v>3300000</v>
      </c>
      <c r="N24" s="141">
        <f t="shared" si="0"/>
        <v>-700000</v>
      </c>
      <c r="O24" s="390">
        <f t="shared" si="5"/>
        <v>-17.5</v>
      </c>
      <c r="P24" s="426"/>
      <c r="Q24" s="426"/>
      <c r="R24" s="426"/>
      <c r="S24" s="426"/>
      <c r="T24" s="426"/>
      <c r="U24" s="426"/>
      <c r="V24" s="426"/>
      <c r="W24" s="426"/>
      <c r="X24" s="426"/>
      <c r="Z24" s="429"/>
    </row>
    <row r="25" spans="2:26" s="428" customFormat="1" ht="16.5" customHeight="1">
      <c r="B25" s="444"/>
      <c r="C25" s="140"/>
      <c r="D25" s="270"/>
      <c r="E25" s="141"/>
      <c r="F25" s="141"/>
      <c r="G25" s="148"/>
      <c r="H25" s="387"/>
      <c r="I25" s="294"/>
      <c r="J25" s="296" t="s">
        <v>400</v>
      </c>
      <c r="K25" s="270" t="s">
        <v>389</v>
      </c>
      <c r="L25" s="141">
        <f>SUM(L26:L28)</f>
        <v>4000000</v>
      </c>
      <c r="M25" s="141">
        <f>SUM(M26:M28)</f>
        <v>3300000</v>
      </c>
      <c r="N25" s="141">
        <f t="shared" si="0"/>
        <v>-700000</v>
      </c>
      <c r="O25" s="390">
        <f t="shared" si="5"/>
        <v>-17.5</v>
      </c>
      <c r="P25" s="426"/>
      <c r="Q25" s="426"/>
      <c r="R25" s="426"/>
      <c r="S25" s="426"/>
      <c r="T25" s="426"/>
      <c r="U25" s="426"/>
      <c r="V25" s="426"/>
      <c r="W25" s="426"/>
      <c r="X25" s="426"/>
      <c r="Z25" s="429"/>
    </row>
    <row r="26" spans="2:26" s="428" customFormat="1" ht="16.5" customHeight="1">
      <c r="B26" s="444"/>
      <c r="C26" s="140"/>
      <c r="D26" s="270"/>
      <c r="E26" s="141"/>
      <c r="F26" s="141"/>
      <c r="G26" s="148"/>
      <c r="H26" s="149"/>
      <c r="I26" s="294"/>
      <c r="J26" s="297"/>
      <c r="K26" s="272" t="s">
        <v>400</v>
      </c>
      <c r="L26" s="141">
        <f>[2]세출!E64</f>
        <v>1000000</v>
      </c>
      <c r="M26" s="141">
        <f>[2]세출!F64</f>
        <v>1000000</v>
      </c>
      <c r="N26" s="141">
        <f t="shared" si="0"/>
        <v>0</v>
      </c>
      <c r="O26" s="390">
        <f t="shared" si="5"/>
        <v>0</v>
      </c>
      <c r="P26" s="426"/>
      <c r="Q26" s="426"/>
      <c r="R26" s="426"/>
      <c r="S26" s="426"/>
      <c r="T26" s="426"/>
      <c r="U26" s="426"/>
      <c r="V26" s="426"/>
      <c r="W26" s="426"/>
      <c r="X26" s="426"/>
      <c r="Z26" s="429"/>
    </row>
    <row r="27" spans="2:26" s="428" customFormat="1" ht="16.5" customHeight="1">
      <c r="B27" s="444"/>
      <c r="C27" s="140"/>
      <c r="D27" s="270"/>
      <c r="E27" s="141"/>
      <c r="F27" s="141"/>
      <c r="G27" s="148"/>
      <c r="H27" s="149"/>
      <c r="I27" s="294"/>
      <c r="J27" s="297"/>
      <c r="K27" s="272" t="str">
        <f>[2]세출!D65</f>
        <v>자산취득비</v>
      </c>
      <c r="L27" s="141">
        <f>[2]세출!E65</f>
        <v>2000000</v>
      </c>
      <c r="M27" s="141">
        <f>[2]세출!F65</f>
        <v>1300000</v>
      </c>
      <c r="N27" s="141">
        <f t="shared" si="0"/>
        <v>-700000</v>
      </c>
      <c r="O27" s="390">
        <f t="shared" si="5"/>
        <v>-35</v>
      </c>
      <c r="P27" s="426"/>
      <c r="Q27" s="426"/>
      <c r="R27" s="426"/>
      <c r="S27" s="426"/>
      <c r="T27" s="426"/>
      <c r="U27" s="426"/>
      <c r="V27" s="426"/>
      <c r="W27" s="426"/>
      <c r="X27" s="426"/>
      <c r="Z27" s="429"/>
    </row>
    <row r="28" spans="2:26" s="428" customFormat="1" ht="16.5" customHeight="1">
      <c r="B28" s="444"/>
      <c r="C28" s="140"/>
      <c r="D28" s="140"/>
      <c r="E28" s="141"/>
      <c r="F28" s="141"/>
      <c r="G28" s="148"/>
      <c r="H28" s="149"/>
      <c r="I28" s="295"/>
      <c r="J28" s="298"/>
      <c r="K28" s="270" t="str">
        <f>[2]세출!D67</f>
        <v>시설장비유지비</v>
      </c>
      <c r="L28" s="141">
        <f>[2]세출!E67</f>
        <v>1000000</v>
      </c>
      <c r="M28" s="141">
        <f>[2]세출!F67</f>
        <v>1000000</v>
      </c>
      <c r="N28" s="141">
        <f t="shared" si="0"/>
        <v>0</v>
      </c>
      <c r="O28" s="390">
        <f t="shared" si="5"/>
        <v>0</v>
      </c>
      <c r="P28" s="426"/>
      <c r="Q28" s="426"/>
      <c r="R28" s="426"/>
      <c r="S28" s="426"/>
      <c r="T28" s="426"/>
      <c r="U28" s="426"/>
      <c r="V28" s="426"/>
      <c r="W28" s="426"/>
      <c r="X28" s="426"/>
      <c r="Z28" s="429"/>
    </row>
    <row r="29" spans="2:26" s="428" customFormat="1" ht="16.5" customHeight="1">
      <c r="B29" s="444"/>
      <c r="C29" s="140"/>
      <c r="D29" s="270"/>
      <c r="E29" s="141"/>
      <c r="F29" s="141"/>
      <c r="G29" s="148"/>
      <c r="H29" s="149"/>
      <c r="I29" s="293" t="str">
        <f>[2]세출!B68</f>
        <v>사업비</v>
      </c>
      <c r="J29" s="270" t="s">
        <v>386</v>
      </c>
      <c r="K29" s="270"/>
      <c r="L29" s="141">
        <f>L30+L38+L45</f>
        <v>23102000</v>
      </c>
      <c r="M29" s="141">
        <f>+M30+M38+M45</f>
        <v>17550000</v>
      </c>
      <c r="N29" s="141">
        <f t="shared" si="0"/>
        <v>-5552000</v>
      </c>
      <c r="O29" s="390">
        <f t="shared" si="5"/>
        <v>-24.032551294260244</v>
      </c>
      <c r="P29" s="426"/>
      <c r="Q29" s="426"/>
      <c r="R29" s="426"/>
      <c r="S29" s="426"/>
      <c r="T29" s="426"/>
      <c r="U29" s="426"/>
      <c r="V29" s="426"/>
      <c r="W29" s="426"/>
      <c r="X29" s="426"/>
      <c r="Z29" s="429"/>
    </row>
    <row r="30" spans="2:26" s="428" customFormat="1" ht="16.5" customHeight="1">
      <c r="B30" s="271"/>
      <c r="C30" s="270"/>
      <c r="D30" s="270"/>
      <c r="E30" s="151"/>
      <c r="F30" s="141"/>
      <c r="G30" s="152"/>
      <c r="H30" s="153"/>
      <c r="I30" s="294"/>
      <c r="J30" s="309" t="s">
        <v>401</v>
      </c>
      <c r="K30" s="270" t="s">
        <v>389</v>
      </c>
      <c r="L30" s="141">
        <f>SUM(L31:L37)</f>
        <v>5342000</v>
      </c>
      <c r="M30" s="141">
        <f>SUM(M31:M37)</f>
        <v>4880000</v>
      </c>
      <c r="N30" s="141">
        <f t="shared" si="0"/>
        <v>-462000</v>
      </c>
      <c r="O30" s="390">
        <f t="shared" si="5"/>
        <v>-8.6484462748034474</v>
      </c>
      <c r="P30" s="426"/>
      <c r="Q30" s="426"/>
      <c r="R30" s="426"/>
      <c r="S30" s="426"/>
      <c r="T30" s="426"/>
      <c r="U30" s="426"/>
      <c r="V30" s="426"/>
      <c r="W30" s="426"/>
      <c r="X30" s="426"/>
      <c r="Z30" s="429"/>
    </row>
    <row r="31" spans="2:26" s="428" customFormat="1" ht="16.5" customHeight="1">
      <c r="B31" s="271"/>
      <c r="C31" s="270"/>
      <c r="D31" s="270"/>
      <c r="E31" s="151"/>
      <c r="F31" s="141"/>
      <c r="G31" s="152"/>
      <c r="H31" s="153"/>
      <c r="I31" s="294"/>
      <c r="J31" s="445"/>
      <c r="K31" s="270" t="str">
        <f>[2]세출!D70</f>
        <v>김장서비스</v>
      </c>
      <c r="L31" s="141">
        <f>[2]세출!E70</f>
        <v>100000</v>
      </c>
      <c r="M31" s="141">
        <f>[2]세출!F70</f>
        <v>330000</v>
      </c>
      <c r="N31" s="141">
        <f t="shared" si="0"/>
        <v>230000</v>
      </c>
      <c r="O31" s="390">
        <f t="shared" si="5"/>
        <v>230</v>
      </c>
      <c r="P31" s="426"/>
      <c r="Q31" s="446"/>
      <c r="R31" s="446"/>
      <c r="S31" s="446"/>
      <c r="T31" s="447"/>
      <c r="U31" s="447"/>
      <c r="V31" s="447"/>
      <c r="W31" s="448"/>
      <c r="X31" s="426"/>
      <c r="Z31" s="429"/>
    </row>
    <row r="32" spans="2:26" s="428" customFormat="1" ht="16.5" customHeight="1">
      <c r="B32" s="271"/>
      <c r="C32" s="270"/>
      <c r="D32" s="270"/>
      <c r="E32" s="151"/>
      <c r="F32" s="141"/>
      <c r="G32" s="152"/>
      <c r="H32" s="153"/>
      <c r="I32" s="294"/>
      <c r="J32" s="445"/>
      <c r="K32" s="270" t="str">
        <f>[2]세출!D71</f>
        <v>어버이날선물지원</v>
      </c>
      <c r="L32" s="141">
        <f>[2]세출!E71</f>
        <v>480000</v>
      </c>
      <c r="M32" s="141">
        <f>[2]세출!F71</f>
        <v>700000</v>
      </c>
      <c r="N32" s="141">
        <f t="shared" si="0"/>
        <v>220000</v>
      </c>
      <c r="O32" s="390">
        <f t="shared" si="5"/>
        <v>45.833333333333314</v>
      </c>
      <c r="P32" s="426"/>
      <c r="Q32" s="446"/>
      <c r="R32" s="446"/>
      <c r="S32" s="446"/>
      <c r="T32" s="447"/>
      <c r="U32" s="447"/>
      <c r="V32" s="447"/>
      <c r="W32" s="448"/>
      <c r="X32" s="426"/>
      <c r="Z32" s="429"/>
    </row>
    <row r="33" spans="2:26" s="428" customFormat="1" ht="16.5" customHeight="1">
      <c r="B33" s="271"/>
      <c r="C33" s="270"/>
      <c r="D33" s="270"/>
      <c r="E33" s="151"/>
      <c r="F33" s="141"/>
      <c r="G33" s="152"/>
      <c r="H33" s="153"/>
      <c r="I33" s="294"/>
      <c r="J33" s="445"/>
      <c r="K33" s="270" t="str">
        <f>[2]세출!D72</f>
        <v>생신지원</v>
      </c>
      <c r="L33" s="141">
        <f>[2]세출!E72</f>
        <v>384000</v>
      </c>
      <c r="M33" s="141">
        <f>[2]세출!F72</f>
        <v>700000</v>
      </c>
      <c r="N33" s="141">
        <f t="shared" si="0"/>
        <v>316000</v>
      </c>
      <c r="O33" s="390">
        <f t="shared" si="5"/>
        <v>82.291666666666686</v>
      </c>
      <c r="P33" s="426"/>
      <c r="Q33" s="446"/>
      <c r="R33" s="446"/>
      <c r="S33" s="446"/>
      <c r="T33" s="447"/>
      <c r="U33" s="447"/>
      <c r="V33" s="447"/>
      <c r="W33" s="448"/>
      <c r="X33" s="426"/>
      <c r="Z33" s="429"/>
    </row>
    <row r="34" spans="2:26" s="428" customFormat="1" ht="16.5" customHeight="1">
      <c r="B34" s="271"/>
      <c r="C34" s="270"/>
      <c r="D34" s="270"/>
      <c r="E34" s="151"/>
      <c r="F34" s="141"/>
      <c r="G34" s="152"/>
      <c r="H34" s="153"/>
      <c r="I34" s="294"/>
      <c r="J34" s="445"/>
      <c r="K34" s="270" t="str">
        <f>[2]세출!D73</f>
        <v>명절지원</v>
      </c>
      <c r="L34" s="141">
        <f>[2]세출!E73</f>
        <v>1408000</v>
      </c>
      <c r="M34" s="141">
        <f>[2]세출!F73</f>
        <v>1400000</v>
      </c>
      <c r="N34" s="141">
        <f t="shared" si="0"/>
        <v>-8000</v>
      </c>
      <c r="O34" s="390">
        <f t="shared" si="5"/>
        <v>-0.56818181818182723</v>
      </c>
      <c r="P34" s="426"/>
      <c r="Q34" s="446"/>
      <c r="R34" s="446"/>
      <c r="S34" s="446"/>
      <c r="T34" s="447"/>
      <c r="U34" s="447"/>
      <c r="V34" s="447"/>
      <c r="W34" s="448"/>
      <c r="X34" s="426"/>
      <c r="Z34" s="429"/>
    </row>
    <row r="35" spans="2:26" s="428" customFormat="1" ht="16.5" customHeight="1">
      <c r="B35" s="271"/>
      <c r="C35" s="270"/>
      <c r="D35" s="270"/>
      <c r="E35" s="151"/>
      <c r="F35" s="141"/>
      <c r="G35" s="152"/>
      <c r="H35" s="153"/>
      <c r="I35" s="294"/>
      <c r="J35" s="445"/>
      <c r="K35" s="270" t="str">
        <f>[2]세출!D74</f>
        <v>혹서한기지원</v>
      </c>
      <c r="L35" s="141">
        <f>[2]세출!E74</f>
        <v>1500000</v>
      </c>
      <c r="M35" s="141">
        <f>[2]세출!F74</f>
        <v>800000</v>
      </c>
      <c r="N35" s="141">
        <f t="shared" si="0"/>
        <v>-700000</v>
      </c>
      <c r="O35" s="390">
        <f t="shared" si="5"/>
        <v>-46.666666666666664</v>
      </c>
      <c r="P35" s="426"/>
      <c r="Q35" s="446"/>
      <c r="R35" s="446"/>
      <c r="S35" s="446"/>
      <c r="T35" s="447"/>
      <c r="U35" s="447"/>
      <c r="V35" s="447"/>
      <c r="W35" s="448"/>
      <c r="X35" s="426"/>
      <c r="Z35" s="429"/>
    </row>
    <row r="36" spans="2:26" s="428" customFormat="1" ht="16.5" customHeight="1">
      <c r="B36" s="271"/>
      <c r="C36" s="270"/>
      <c r="D36" s="270"/>
      <c r="E36" s="151"/>
      <c r="F36" s="141"/>
      <c r="G36" s="152"/>
      <c r="H36" s="153"/>
      <c r="I36" s="294"/>
      <c r="J36" s="445"/>
      <c r="K36" s="270" t="str">
        <f>[2]세출!D77</f>
        <v>특식지원</v>
      </c>
      <c r="L36" s="141">
        <f>[2]세출!E77</f>
        <v>320000</v>
      </c>
      <c r="M36" s="141">
        <f>[2]세출!F77</f>
        <v>350000</v>
      </c>
      <c r="N36" s="141">
        <f t="shared" si="0"/>
        <v>30000</v>
      </c>
      <c r="O36" s="390">
        <f t="shared" si="5"/>
        <v>9.375</v>
      </c>
      <c r="P36" s="426"/>
      <c r="Q36" s="446"/>
      <c r="R36" s="446"/>
      <c r="S36" s="446"/>
      <c r="T36" s="447"/>
      <c r="U36" s="447"/>
      <c r="V36" s="447"/>
      <c r="W36" s="448"/>
      <c r="X36" s="426"/>
      <c r="Z36" s="429"/>
    </row>
    <row r="37" spans="2:26" s="428" customFormat="1" ht="16.5" customHeight="1">
      <c r="B37" s="271"/>
      <c r="C37" s="270"/>
      <c r="D37" s="270"/>
      <c r="E37" s="151"/>
      <c r="F37" s="141"/>
      <c r="G37" s="152"/>
      <c r="H37" s="153"/>
      <c r="I37" s="294"/>
      <c r="J37" s="449"/>
      <c r="K37" s="270" t="str">
        <f>[2]세출!D78</f>
        <v>기타지원</v>
      </c>
      <c r="L37" s="141">
        <f>[2]세출!E78</f>
        <v>1150000</v>
      </c>
      <c r="M37" s="141">
        <f>[2]세출!F78</f>
        <v>600000</v>
      </c>
      <c r="N37" s="141">
        <f t="shared" si="0"/>
        <v>-550000</v>
      </c>
      <c r="O37" s="450">
        <f t="shared" si="5"/>
        <v>-47.826086956521742</v>
      </c>
      <c r="P37" s="426"/>
      <c r="Q37" s="446"/>
      <c r="R37" s="446"/>
      <c r="S37" s="446"/>
      <c r="T37" s="447"/>
      <c r="U37" s="447"/>
      <c r="V37" s="447"/>
      <c r="W37" s="448"/>
      <c r="X37" s="426"/>
      <c r="Z37" s="429"/>
    </row>
    <row r="38" spans="2:26" s="413" customFormat="1" ht="16.5" customHeight="1">
      <c r="B38" s="271"/>
      <c r="C38" s="270"/>
      <c r="D38" s="270"/>
      <c r="E38" s="151"/>
      <c r="F38" s="141"/>
      <c r="G38" s="152"/>
      <c r="H38" s="153"/>
      <c r="I38" s="294"/>
      <c r="J38" s="309" t="s">
        <v>403</v>
      </c>
      <c r="K38" s="270" t="s">
        <v>389</v>
      </c>
      <c r="L38" s="141">
        <f>SUM(L39:L44)</f>
        <v>11660000</v>
      </c>
      <c r="M38" s="141">
        <f>SUM(M39:M44)</f>
        <v>10420000</v>
      </c>
      <c r="N38" s="141">
        <f t="shared" si="0"/>
        <v>-1240000</v>
      </c>
      <c r="O38" s="450">
        <f t="shared" si="5"/>
        <v>-10.63464837049743</v>
      </c>
      <c r="Y38" s="428"/>
      <c r="Z38" s="429"/>
    </row>
    <row r="39" spans="2:26" s="413" customFormat="1" ht="16.5" customHeight="1">
      <c r="B39" s="271"/>
      <c r="C39" s="270"/>
      <c r="D39" s="270"/>
      <c r="E39" s="151"/>
      <c r="F39" s="141"/>
      <c r="G39" s="152"/>
      <c r="H39" s="153"/>
      <c r="I39" s="294"/>
      <c r="J39" s="445"/>
      <c r="K39" s="270" t="str">
        <f>[2]세출!D83</f>
        <v>관리지원사업</v>
      </c>
      <c r="L39" s="141">
        <f>[2]세출!E83</f>
        <v>5400000</v>
      </c>
      <c r="M39" s="141">
        <f>[2]세출!F83</f>
        <v>3900000</v>
      </c>
      <c r="N39" s="141">
        <f t="shared" si="0"/>
        <v>-1500000</v>
      </c>
      <c r="O39" s="450">
        <f t="shared" si="5"/>
        <v>-27.777777777777786</v>
      </c>
      <c r="Y39" s="428"/>
      <c r="Z39" s="429"/>
    </row>
    <row r="40" spans="2:26" s="413" customFormat="1" ht="16.5" customHeight="1" thickBot="1">
      <c r="B40" s="451"/>
      <c r="C40" s="180"/>
      <c r="D40" s="180"/>
      <c r="E40" s="175"/>
      <c r="F40" s="156"/>
      <c r="G40" s="452"/>
      <c r="H40" s="453"/>
      <c r="I40" s="301"/>
      <c r="J40" s="454"/>
      <c r="K40" s="180" t="str">
        <f>[2]세출!D87</f>
        <v>직무교육사업</v>
      </c>
      <c r="L40" s="156">
        <f>[2]세출!E87</f>
        <v>4700000</v>
      </c>
      <c r="M40" s="156">
        <f>[2]세출!F87</f>
        <v>4960000</v>
      </c>
      <c r="N40" s="156">
        <f t="shared" si="0"/>
        <v>260000</v>
      </c>
      <c r="O40" s="455">
        <f t="shared" si="5"/>
        <v>5.5319148936170137</v>
      </c>
      <c r="Y40" s="428"/>
      <c r="Z40" s="429"/>
    </row>
    <row r="41" spans="2:26" ht="15" customHeight="1">
      <c r="B41" s="456" t="s">
        <v>374</v>
      </c>
      <c r="C41" s="457"/>
      <c r="D41" s="457"/>
      <c r="E41" s="457"/>
      <c r="F41" s="457"/>
      <c r="G41" s="457"/>
      <c r="H41" s="457"/>
      <c r="I41" s="457" t="s">
        <v>375</v>
      </c>
      <c r="J41" s="457"/>
      <c r="K41" s="457"/>
      <c r="L41" s="457"/>
      <c r="M41" s="457"/>
      <c r="N41" s="457"/>
      <c r="O41" s="458"/>
      <c r="P41" s="5"/>
      <c r="Q41" s="323"/>
      <c r="R41" s="323"/>
      <c r="S41" s="323"/>
      <c r="T41" s="324"/>
      <c r="U41" s="324"/>
      <c r="V41" s="323"/>
      <c r="W41" s="323"/>
      <c r="X41" s="5"/>
    </row>
    <row r="42" spans="2:26" ht="20.25" customHeight="1">
      <c r="B42" s="459" t="s">
        <v>376</v>
      </c>
      <c r="C42" s="329" t="s">
        <v>377</v>
      </c>
      <c r="D42" s="329" t="s">
        <v>378</v>
      </c>
      <c r="E42" s="331" t="s">
        <v>379</v>
      </c>
      <c r="F42" s="331" t="s">
        <v>380</v>
      </c>
      <c r="G42" s="329" t="s">
        <v>381</v>
      </c>
      <c r="H42" s="329"/>
      <c r="I42" s="329" t="s">
        <v>376</v>
      </c>
      <c r="J42" s="329" t="s">
        <v>377</v>
      </c>
      <c r="K42" s="329" t="s">
        <v>378</v>
      </c>
      <c r="L42" s="331" t="s">
        <v>379</v>
      </c>
      <c r="M42" s="331" t="s">
        <v>380</v>
      </c>
      <c r="N42" s="329" t="s">
        <v>381</v>
      </c>
      <c r="O42" s="330"/>
      <c r="P42" s="5"/>
      <c r="Q42" s="284"/>
      <c r="R42" s="284"/>
      <c r="S42" s="284"/>
      <c r="T42" s="284"/>
      <c r="U42" s="284"/>
      <c r="V42" s="269"/>
      <c r="W42" s="269"/>
      <c r="X42" s="5"/>
    </row>
    <row r="43" spans="2:26" ht="20.25" customHeight="1" thickBot="1">
      <c r="B43" s="460"/>
      <c r="C43" s="461"/>
      <c r="D43" s="461"/>
      <c r="E43" s="328"/>
      <c r="F43" s="328"/>
      <c r="G43" s="462" t="s">
        <v>382</v>
      </c>
      <c r="H43" s="136" t="s">
        <v>383</v>
      </c>
      <c r="I43" s="461"/>
      <c r="J43" s="461"/>
      <c r="K43" s="461"/>
      <c r="L43" s="328"/>
      <c r="M43" s="328"/>
      <c r="N43" s="136" t="s">
        <v>382</v>
      </c>
      <c r="O43" s="421" t="s">
        <v>383</v>
      </c>
      <c r="P43" s="5"/>
      <c r="Q43" s="77"/>
      <c r="R43" s="77"/>
      <c r="S43" s="77"/>
      <c r="T43" s="5"/>
      <c r="U43" s="5"/>
      <c r="V43" s="5"/>
      <c r="W43" s="5"/>
      <c r="X43" s="5"/>
    </row>
    <row r="44" spans="2:26" ht="16.5" customHeight="1">
      <c r="B44" s="463"/>
      <c r="C44" s="401"/>
      <c r="D44" s="401"/>
      <c r="E44" s="259"/>
      <c r="F44" s="258"/>
      <c r="G44" s="464"/>
      <c r="H44" s="465"/>
      <c r="I44" s="343" t="s">
        <v>404</v>
      </c>
      <c r="J44" s="466"/>
      <c r="K44" s="273" t="s">
        <v>406</v>
      </c>
      <c r="L44" s="141">
        <f>[2]세출!E90</f>
        <v>1560000</v>
      </c>
      <c r="M44" s="141">
        <f>[2]세출!F90</f>
        <v>1560000</v>
      </c>
      <c r="N44" s="141">
        <f t="shared" ref="N44:N68" si="6">M44-L44</f>
        <v>0</v>
      </c>
      <c r="O44" s="450">
        <f t="shared" si="5"/>
        <v>0</v>
      </c>
    </row>
    <row r="45" spans="2:26" ht="16.5" customHeight="1">
      <c r="B45" s="463"/>
      <c r="C45" s="401"/>
      <c r="D45" s="401"/>
      <c r="E45" s="259"/>
      <c r="F45" s="258"/>
      <c r="G45" s="464"/>
      <c r="H45" s="465"/>
      <c r="I45" s="294"/>
      <c r="J45" s="467" t="s">
        <v>407</v>
      </c>
      <c r="K45" s="270" t="s">
        <v>389</v>
      </c>
      <c r="L45" s="141">
        <f>SUM(L46:L50)</f>
        <v>6100000</v>
      </c>
      <c r="M45" s="141">
        <f>SUM(M46:M50)</f>
        <v>2250000</v>
      </c>
      <c r="N45" s="141">
        <f t="shared" si="6"/>
        <v>-3850000</v>
      </c>
      <c r="O45" s="450">
        <f t="shared" si="5"/>
        <v>-63.114754098360656</v>
      </c>
    </row>
    <row r="46" spans="2:26" s="17" customFormat="1" ht="16.5" customHeight="1">
      <c r="B46" s="127"/>
      <c r="C46" s="121"/>
      <c r="D46" s="121"/>
      <c r="E46" s="10"/>
      <c r="F46" s="8"/>
      <c r="G46" s="128"/>
      <c r="H46" s="129"/>
      <c r="I46" s="294"/>
      <c r="J46" s="467"/>
      <c r="K46" s="270" t="str">
        <f>[2]세출!D92</f>
        <v>계몽홍보사업</v>
      </c>
      <c r="L46" s="141">
        <f>[2]세출!E92</f>
        <v>3000000</v>
      </c>
      <c r="M46" s="141">
        <f>[2]세출!F92</f>
        <v>400000</v>
      </c>
      <c r="N46" s="141">
        <f>M46-L46</f>
        <v>-2600000</v>
      </c>
      <c r="O46" s="450">
        <f t="shared" si="5"/>
        <v>-86.666666666666671</v>
      </c>
      <c r="P46" s="5"/>
      <c r="Q46" s="269"/>
      <c r="R46" s="269"/>
      <c r="S46" s="269"/>
      <c r="T46" s="31"/>
      <c r="U46" s="31"/>
      <c r="V46" s="31"/>
      <c r="W46" s="6"/>
      <c r="X46" s="5"/>
      <c r="Z46" s="27"/>
    </row>
    <row r="47" spans="2:26" s="17" customFormat="1" ht="16.5" customHeight="1">
      <c r="B47" s="127"/>
      <c r="C47" s="121"/>
      <c r="D47" s="121"/>
      <c r="E47" s="10"/>
      <c r="F47" s="8"/>
      <c r="G47" s="128"/>
      <c r="H47" s="129"/>
      <c r="I47" s="294"/>
      <c r="J47" s="467"/>
      <c r="K47" s="270" t="str">
        <f>[2]세출!D93</f>
        <v>지역사회조직사업</v>
      </c>
      <c r="L47" s="141">
        <f>[2]세출!E93</f>
        <v>500000</v>
      </c>
      <c r="M47" s="141">
        <f>[2]세출!F93</f>
        <v>200000</v>
      </c>
      <c r="N47" s="141">
        <f>M47-L47</f>
        <v>-300000</v>
      </c>
      <c r="O47" s="450">
        <f t="shared" si="5"/>
        <v>-60</v>
      </c>
      <c r="P47" s="5"/>
      <c r="Q47" s="269"/>
      <c r="R47" s="269"/>
      <c r="S47" s="269"/>
      <c r="T47" s="31"/>
      <c r="U47" s="31"/>
      <c r="V47" s="31"/>
      <c r="W47" s="6"/>
      <c r="X47" s="5"/>
      <c r="Z47" s="27"/>
    </row>
    <row r="48" spans="2:26" s="17" customFormat="1" ht="16.5" customHeight="1">
      <c r="B48" s="127"/>
      <c r="C48" s="121"/>
      <c r="D48" s="121"/>
      <c r="E48" s="10"/>
      <c r="F48" s="8"/>
      <c r="G48" s="128"/>
      <c r="H48" s="129"/>
      <c r="I48" s="294"/>
      <c r="J48" s="467"/>
      <c r="K48" s="270" t="str">
        <f>[2]세출!D94</f>
        <v>직원연수</v>
      </c>
      <c r="L48" s="141">
        <f>[2]세출!E94</f>
        <v>2500000</v>
      </c>
      <c r="M48" s="141">
        <f>[2]세출!F94</f>
        <v>0</v>
      </c>
      <c r="N48" s="141">
        <f>M48-L48</f>
        <v>-2500000</v>
      </c>
      <c r="O48" s="450">
        <f t="shared" si="5"/>
        <v>-100</v>
      </c>
      <c r="P48" s="5"/>
      <c r="Q48" s="269"/>
      <c r="R48" s="269"/>
      <c r="S48" s="269"/>
      <c r="T48" s="31"/>
      <c r="U48" s="31"/>
      <c r="V48" s="31"/>
      <c r="W48" s="6"/>
      <c r="X48" s="5"/>
      <c r="Z48" s="27"/>
    </row>
    <row r="49" spans="2:26" s="17" customFormat="1" ht="16.5" customHeight="1">
      <c r="B49" s="127"/>
      <c r="C49" s="121"/>
      <c r="D49" s="121"/>
      <c r="E49" s="10"/>
      <c r="F49" s="8"/>
      <c r="G49" s="128"/>
      <c r="H49" s="129"/>
      <c r="I49" s="294"/>
      <c r="J49" s="467"/>
      <c r="K49" s="270" t="str">
        <f>[2]세출!D96</f>
        <v>자원봉사자관리</v>
      </c>
      <c r="L49" s="141">
        <f>[2]세출!E96</f>
        <v>100000</v>
      </c>
      <c r="M49" s="141">
        <f>[2]세출!F96</f>
        <v>50000</v>
      </c>
      <c r="N49" s="141">
        <f t="shared" si="6"/>
        <v>-50000</v>
      </c>
      <c r="O49" s="450">
        <f>M49/L49*100-100</f>
        <v>-50</v>
      </c>
      <c r="P49" s="5"/>
      <c r="Q49" s="269"/>
      <c r="R49" s="269"/>
      <c r="S49" s="269"/>
      <c r="T49" s="31"/>
      <c r="U49" s="31"/>
      <c r="V49" s="31"/>
      <c r="W49" s="6"/>
      <c r="X49" s="5"/>
      <c r="Z49" s="27"/>
    </row>
    <row r="50" spans="2:26" s="17" customFormat="1" ht="16.5" customHeight="1">
      <c r="B50" s="127"/>
      <c r="C50" s="121"/>
      <c r="D50" s="121"/>
      <c r="E50" s="10"/>
      <c r="F50" s="8"/>
      <c r="G50" s="128"/>
      <c r="H50" s="129"/>
      <c r="I50" s="295"/>
      <c r="J50" s="467"/>
      <c r="K50" s="270" t="str">
        <f>[2]세출!D95</f>
        <v>직원교육비</v>
      </c>
      <c r="L50" s="141">
        <f>[2]세출!E95</f>
        <v>0</v>
      </c>
      <c r="M50" s="141">
        <f>[2]세출!F95</f>
        <v>1600000</v>
      </c>
      <c r="N50" s="141">
        <f t="shared" si="6"/>
        <v>1600000</v>
      </c>
      <c r="O50" s="450">
        <v>0</v>
      </c>
      <c r="P50" s="5"/>
      <c r="Q50" s="269"/>
      <c r="R50" s="269"/>
      <c r="S50" s="269"/>
      <c r="T50" s="31"/>
      <c r="U50" s="31"/>
      <c r="V50" s="31"/>
      <c r="W50" s="6"/>
      <c r="X50" s="5"/>
      <c r="Z50" s="27"/>
    </row>
    <row r="51" spans="2:26" s="17" customFormat="1" ht="16.5" customHeight="1">
      <c r="B51" s="127"/>
      <c r="C51" s="121"/>
      <c r="D51" s="121"/>
      <c r="E51" s="10"/>
      <c r="F51" s="8"/>
      <c r="G51" s="128"/>
      <c r="H51" s="129"/>
      <c r="I51" s="293" t="s">
        <v>409</v>
      </c>
      <c r="J51" s="468" t="s">
        <v>386</v>
      </c>
      <c r="K51" s="469"/>
      <c r="L51" s="141">
        <f>L52</f>
        <v>20532000</v>
      </c>
      <c r="M51" s="141">
        <f>M52</f>
        <v>38472000</v>
      </c>
      <c r="N51" s="141">
        <f t="shared" si="6"/>
        <v>17940000</v>
      </c>
      <c r="O51" s="450">
        <f t="shared" ref="O51:O68" si="7">M51/L51*100-100</f>
        <v>87.375803623611915</v>
      </c>
      <c r="P51" s="5"/>
      <c r="Q51" s="269"/>
      <c r="R51" s="269"/>
      <c r="S51" s="269"/>
      <c r="T51" s="31"/>
      <c r="U51" s="31"/>
      <c r="V51" s="31"/>
      <c r="W51" s="6"/>
      <c r="X51" s="5"/>
      <c r="Z51" s="27"/>
    </row>
    <row r="52" spans="2:26" s="17" customFormat="1" ht="16.5" customHeight="1">
      <c r="B52" s="127"/>
      <c r="C52" s="121"/>
      <c r="D52" s="121"/>
      <c r="E52" s="10"/>
      <c r="F52" s="8"/>
      <c r="G52" s="128"/>
      <c r="H52" s="129"/>
      <c r="I52" s="294"/>
      <c r="J52" s="296" t="s">
        <v>409</v>
      </c>
      <c r="K52" s="270" t="s">
        <v>388</v>
      </c>
      <c r="L52" s="141">
        <f>L53</f>
        <v>20532000</v>
      </c>
      <c r="M52" s="141">
        <f>M53</f>
        <v>38472000</v>
      </c>
      <c r="N52" s="141">
        <f t="shared" si="6"/>
        <v>17940000</v>
      </c>
      <c r="O52" s="450">
        <f t="shared" si="7"/>
        <v>87.375803623611915</v>
      </c>
      <c r="P52" s="5"/>
      <c r="Q52" s="269"/>
      <c r="R52" s="269"/>
      <c r="S52" s="269"/>
      <c r="T52" s="31"/>
      <c r="U52" s="31"/>
      <c r="V52" s="31"/>
      <c r="W52" s="6"/>
      <c r="X52" s="5"/>
      <c r="Z52" s="27"/>
    </row>
    <row r="53" spans="2:26" s="17" customFormat="1" ht="16.5" customHeight="1">
      <c r="B53" s="463"/>
      <c r="C53" s="401"/>
      <c r="D53" s="401"/>
      <c r="E53" s="259"/>
      <c r="F53" s="258"/>
      <c r="G53" s="464"/>
      <c r="H53" s="465"/>
      <c r="I53" s="295"/>
      <c r="J53" s="298"/>
      <c r="K53" s="278" t="s">
        <v>409</v>
      </c>
      <c r="L53" s="141">
        <f>[2]세출!E99</f>
        <v>20532000</v>
      </c>
      <c r="M53" s="141">
        <f>[2]세출!F99</f>
        <v>38472000</v>
      </c>
      <c r="N53" s="141">
        <f t="shared" si="6"/>
        <v>17940000</v>
      </c>
      <c r="O53" s="450">
        <f t="shared" si="7"/>
        <v>87.375803623611915</v>
      </c>
      <c r="P53" s="5"/>
      <c r="Q53" s="269"/>
      <c r="R53" s="269"/>
      <c r="S53" s="269"/>
      <c r="T53" s="31"/>
      <c r="U53" s="31"/>
      <c r="V53" s="31"/>
      <c r="W53" s="6"/>
      <c r="X53" s="5"/>
      <c r="Z53" s="27"/>
    </row>
    <row r="54" spans="2:26" s="17" customFormat="1" ht="16.5" customHeight="1">
      <c r="B54" s="127"/>
      <c r="C54" s="121"/>
      <c r="D54" s="121"/>
      <c r="E54" s="10"/>
      <c r="F54" s="8"/>
      <c r="G54" s="128"/>
      <c r="H54" s="129"/>
      <c r="I54" s="293" t="str">
        <f>[2]세출!B103</f>
        <v>과년도지출</v>
      </c>
      <c r="J54" s="468" t="s">
        <v>386</v>
      </c>
      <c r="K54" s="469"/>
      <c r="L54" s="141">
        <f>L55</f>
        <v>22377160</v>
      </c>
      <c r="M54" s="141">
        <f>M55</f>
        <v>0</v>
      </c>
      <c r="N54" s="141">
        <f t="shared" si="6"/>
        <v>-22377160</v>
      </c>
      <c r="O54" s="450">
        <f t="shared" si="7"/>
        <v>-100</v>
      </c>
      <c r="P54" s="5"/>
      <c r="Q54" s="269"/>
      <c r="R54" s="269"/>
      <c r="S54" s="269"/>
      <c r="T54" s="31"/>
      <c r="U54" s="31"/>
      <c r="V54" s="31"/>
      <c r="W54" s="6"/>
      <c r="X54" s="5"/>
      <c r="Z54" s="27"/>
    </row>
    <row r="55" spans="2:26" s="17" customFormat="1" ht="16.5" customHeight="1">
      <c r="B55" s="127"/>
      <c r="C55" s="121"/>
      <c r="D55" s="121"/>
      <c r="E55" s="10"/>
      <c r="F55" s="8"/>
      <c r="G55" s="128"/>
      <c r="H55" s="129"/>
      <c r="I55" s="294"/>
      <c r="J55" s="309" t="str">
        <f>[2]세출!C104</f>
        <v>과년도지출</v>
      </c>
      <c r="K55" s="270" t="s">
        <v>388</v>
      </c>
      <c r="L55" s="141">
        <f>L56</f>
        <v>22377160</v>
      </c>
      <c r="M55" s="141">
        <f>M56</f>
        <v>0</v>
      </c>
      <c r="N55" s="141">
        <f t="shared" si="6"/>
        <v>-22377160</v>
      </c>
      <c r="O55" s="450">
        <f t="shared" si="7"/>
        <v>-100</v>
      </c>
      <c r="P55" s="5"/>
      <c r="Q55" s="269"/>
      <c r="R55" s="269"/>
      <c r="S55" s="269"/>
      <c r="T55" s="31"/>
      <c r="U55" s="31"/>
      <c r="V55" s="31"/>
      <c r="W55" s="6"/>
      <c r="X55" s="5"/>
      <c r="Z55" s="27"/>
    </row>
    <row r="56" spans="2:26" s="17" customFormat="1" ht="16.5" customHeight="1">
      <c r="B56" s="127"/>
      <c r="C56" s="121"/>
      <c r="D56" s="121"/>
      <c r="E56" s="10"/>
      <c r="F56" s="8"/>
      <c r="G56" s="128"/>
      <c r="H56" s="129"/>
      <c r="I56" s="295"/>
      <c r="J56" s="449"/>
      <c r="K56" s="278" t="str">
        <f>[2]세출!D105</f>
        <v>과년도지출</v>
      </c>
      <c r="L56" s="141">
        <f>[2]세출!E105</f>
        <v>22377160</v>
      </c>
      <c r="M56" s="141">
        <f>[2]세출!F105</f>
        <v>0</v>
      </c>
      <c r="N56" s="141">
        <f t="shared" si="6"/>
        <v>-22377160</v>
      </c>
      <c r="O56" s="450">
        <f t="shared" si="7"/>
        <v>-100</v>
      </c>
      <c r="P56" s="5"/>
      <c r="Q56" s="269"/>
      <c r="R56" s="269"/>
      <c r="S56" s="269"/>
      <c r="T56" s="31"/>
      <c r="U56" s="31"/>
      <c r="V56" s="31"/>
      <c r="W56" s="6"/>
      <c r="X56" s="5"/>
      <c r="Z56" s="27"/>
    </row>
    <row r="57" spans="2:26" ht="16.5" customHeight="1">
      <c r="B57" s="127"/>
      <c r="C57" s="121"/>
      <c r="D57" s="121"/>
      <c r="E57" s="10"/>
      <c r="F57" s="8"/>
      <c r="G57" s="128"/>
      <c r="H57" s="129"/>
      <c r="I57" s="470" t="str">
        <f>[2]세출!B106</f>
        <v>잡지출</v>
      </c>
      <c r="J57" s="468" t="s">
        <v>386</v>
      </c>
      <c r="K57" s="469"/>
      <c r="L57" s="151">
        <f>M58</f>
        <v>300000</v>
      </c>
      <c r="M57" s="151">
        <f>M58</f>
        <v>300000</v>
      </c>
      <c r="N57" s="141">
        <f t="shared" si="6"/>
        <v>0</v>
      </c>
      <c r="O57" s="450">
        <f t="shared" si="7"/>
        <v>0</v>
      </c>
      <c r="P57" s="5"/>
      <c r="Q57" s="269"/>
      <c r="R57" s="269"/>
      <c r="S57" s="269"/>
      <c r="T57" s="31"/>
      <c r="U57" s="31"/>
      <c r="V57" s="5"/>
      <c r="W57" s="5"/>
      <c r="X57" s="5"/>
      <c r="Y57" s="9"/>
      <c r="Z57" s="32"/>
    </row>
    <row r="58" spans="2:26" ht="16.5" customHeight="1">
      <c r="B58" s="127"/>
      <c r="C58" s="121"/>
      <c r="D58" s="121"/>
      <c r="E58" s="10"/>
      <c r="F58" s="8"/>
      <c r="G58" s="128"/>
      <c r="H58" s="129"/>
      <c r="I58" s="471"/>
      <c r="J58" s="296" t="str">
        <f>[2]세출!C107</f>
        <v>잡지출</v>
      </c>
      <c r="K58" s="270" t="s">
        <v>388</v>
      </c>
      <c r="L58" s="151">
        <f>L59</f>
        <v>300000</v>
      </c>
      <c r="M58" s="151">
        <f>M59</f>
        <v>300000</v>
      </c>
      <c r="N58" s="141">
        <f t="shared" si="6"/>
        <v>0</v>
      </c>
      <c r="O58" s="450">
        <f t="shared" si="7"/>
        <v>0</v>
      </c>
      <c r="P58" s="5"/>
      <c r="Q58" s="269"/>
      <c r="R58" s="269"/>
      <c r="S58" s="269"/>
      <c r="T58" s="31"/>
      <c r="U58" s="31"/>
      <c r="V58" s="31"/>
      <c r="W58" s="6"/>
      <c r="X58" s="5"/>
      <c r="Y58" s="9"/>
      <c r="Z58" s="32"/>
    </row>
    <row r="59" spans="2:26" ht="16.5" customHeight="1">
      <c r="B59" s="127"/>
      <c r="C59" s="121"/>
      <c r="D59" s="121"/>
      <c r="E59" s="10"/>
      <c r="F59" s="8"/>
      <c r="G59" s="128"/>
      <c r="H59" s="129"/>
      <c r="I59" s="472"/>
      <c r="J59" s="298"/>
      <c r="K59" s="270" t="str">
        <f>[2]세출!D108</f>
        <v>잡지출</v>
      </c>
      <c r="L59" s="151">
        <f>[2]세출!E108</f>
        <v>300000</v>
      </c>
      <c r="M59" s="151">
        <f>[2]세출!F108</f>
        <v>300000</v>
      </c>
      <c r="N59" s="141">
        <f t="shared" si="6"/>
        <v>0</v>
      </c>
      <c r="O59" s="450">
        <f t="shared" si="7"/>
        <v>0</v>
      </c>
      <c r="P59" s="5"/>
      <c r="Q59" s="269"/>
      <c r="R59" s="269"/>
      <c r="S59" s="269"/>
      <c r="T59" s="31"/>
      <c r="U59" s="31"/>
      <c r="V59" s="5"/>
      <c r="W59" s="5"/>
      <c r="X59" s="5"/>
      <c r="Y59" s="9"/>
      <c r="Z59" s="32"/>
    </row>
    <row r="60" spans="2:26" ht="16.5" customHeight="1">
      <c r="B60" s="127"/>
      <c r="C60" s="121"/>
      <c r="D60" s="121"/>
      <c r="E60" s="10"/>
      <c r="F60" s="8"/>
      <c r="G60" s="128"/>
      <c r="H60" s="129"/>
      <c r="I60" s="293" t="str">
        <f>[2]세출!B109</f>
        <v>예비비</v>
      </c>
      <c r="J60" s="291" t="s">
        <v>386</v>
      </c>
      <c r="K60" s="292"/>
      <c r="L60" s="151">
        <f>L61</f>
        <v>200770</v>
      </c>
      <c r="M60" s="151">
        <f>M61</f>
        <v>206260</v>
      </c>
      <c r="N60" s="141">
        <f t="shared" si="6"/>
        <v>5490</v>
      </c>
      <c r="O60" s="450">
        <f t="shared" si="7"/>
        <v>2.7344722817153979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2:26" ht="16.5" customHeight="1">
      <c r="B61" s="463"/>
      <c r="C61" s="401"/>
      <c r="D61" s="401"/>
      <c r="E61" s="259"/>
      <c r="F61" s="258"/>
      <c r="G61" s="464"/>
      <c r="H61" s="465"/>
      <c r="I61" s="294"/>
      <c r="J61" s="296" t="str">
        <f>[2]세출!C110</f>
        <v>예비비</v>
      </c>
      <c r="K61" s="274" t="s">
        <v>388</v>
      </c>
      <c r="L61" s="473">
        <f>L62</f>
        <v>200770</v>
      </c>
      <c r="M61" s="473">
        <f>M62</f>
        <v>206260</v>
      </c>
      <c r="N61" s="141">
        <f t="shared" si="6"/>
        <v>5490</v>
      </c>
      <c r="O61" s="450">
        <f t="shared" si="7"/>
        <v>2.7344722817153979</v>
      </c>
      <c r="P61" s="284"/>
    </row>
    <row r="62" spans="2:26" ht="16.5" customHeight="1">
      <c r="B62" s="127"/>
      <c r="C62" s="121"/>
      <c r="D62" s="121"/>
      <c r="E62" s="10"/>
      <c r="F62" s="8"/>
      <c r="G62" s="128"/>
      <c r="H62" s="129"/>
      <c r="I62" s="295"/>
      <c r="J62" s="298"/>
      <c r="K62" s="270" t="str">
        <f>[2]세출!D111</f>
        <v>예비비</v>
      </c>
      <c r="L62" s="151">
        <f>[2]세출!E111</f>
        <v>200770</v>
      </c>
      <c r="M62" s="151">
        <f>[2]세출!F111</f>
        <v>206260</v>
      </c>
      <c r="N62" s="141">
        <f t="shared" si="6"/>
        <v>5490</v>
      </c>
      <c r="O62" s="450">
        <f>M62/L62*100-100</f>
        <v>2.7344722817153979</v>
      </c>
      <c r="P62" s="283"/>
    </row>
    <row r="63" spans="2:26" ht="16.5" customHeight="1">
      <c r="B63" s="127"/>
      <c r="C63" s="121"/>
      <c r="D63" s="121"/>
      <c r="E63" s="10"/>
      <c r="F63" s="8"/>
      <c r="G63" s="128"/>
      <c r="H63" s="129"/>
      <c r="I63" s="293" t="str">
        <f>[2]세출!B112</f>
        <v>적립금</v>
      </c>
      <c r="J63" s="290" t="s">
        <v>386</v>
      </c>
      <c r="K63" s="290"/>
      <c r="L63" s="151">
        <f>L64</f>
        <v>5000000</v>
      </c>
      <c r="M63" s="151">
        <f>M64</f>
        <v>1000000</v>
      </c>
      <c r="N63" s="141">
        <f t="shared" si="6"/>
        <v>-4000000</v>
      </c>
      <c r="O63" s="450">
        <f t="shared" si="7"/>
        <v>-80</v>
      </c>
      <c r="P63" s="283"/>
    </row>
    <row r="64" spans="2:26" ht="16.5" customHeight="1">
      <c r="B64" s="127"/>
      <c r="C64" s="121"/>
      <c r="D64" s="121"/>
      <c r="E64" s="10"/>
      <c r="F64" s="8"/>
      <c r="G64" s="128"/>
      <c r="H64" s="129"/>
      <c r="I64" s="294"/>
      <c r="J64" s="309" t="s">
        <v>410</v>
      </c>
      <c r="K64" s="270" t="s">
        <v>388</v>
      </c>
      <c r="L64" s="151">
        <f>L65</f>
        <v>5000000</v>
      </c>
      <c r="M64" s="151">
        <f>M65</f>
        <v>1000000</v>
      </c>
      <c r="N64" s="141">
        <f t="shared" si="6"/>
        <v>-4000000</v>
      </c>
      <c r="O64" s="450">
        <f t="shared" si="7"/>
        <v>-80</v>
      </c>
      <c r="P64" s="283"/>
    </row>
    <row r="65" spans="2:26" ht="16.5" customHeight="1">
      <c r="B65" s="127"/>
      <c r="C65" s="121"/>
      <c r="D65" s="121"/>
      <c r="E65" s="10"/>
      <c r="F65" s="8"/>
      <c r="G65" s="128"/>
      <c r="H65" s="129"/>
      <c r="I65" s="295"/>
      <c r="J65" s="449"/>
      <c r="K65" s="270" t="str">
        <f>[2]세출!D114</f>
        <v>운영충당적립금</v>
      </c>
      <c r="L65" s="151">
        <f>[2]세출!E114</f>
        <v>5000000</v>
      </c>
      <c r="M65" s="151">
        <f>[2]세출!F114</f>
        <v>1000000</v>
      </c>
      <c r="N65" s="141">
        <f t="shared" si="6"/>
        <v>-4000000</v>
      </c>
      <c r="O65" s="450">
        <f t="shared" si="7"/>
        <v>-80</v>
      </c>
      <c r="P65" s="283"/>
    </row>
    <row r="66" spans="2:26" ht="20.100000000000001" customHeight="1">
      <c r="B66" s="127"/>
      <c r="C66" s="121"/>
      <c r="D66" s="121"/>
      <c r="E66" s="10"/>
      <c r="F66" s="8"/>
      <c r="G66" s="128"/>
      <c r="H66" s="129"/>
      <c r="I66" s="293" t="str">
        <f>[2]세출!B115</f>
        <v>준비금</v>
      </c>
      <c r="J66" s="290" t="s">
        <v>386</v>
      </c>
      <c r="K66" s="290"/>
      <c r="L66" s="151">
        <f>L67</f>
        <v>5000000</v>
      </c>
      <c r="M66" s="151">
        <f>M67</f>
        <v>1000000</v>
      </c>
      <c r="N66" s="141">
        <f t="shared" si="6"/>
        <v>-4000000</v>
      </c>
      <c r="O66" s="390">
        <f t="shared" si="7"/>
        <v>-80</v>
      </c>
      <c r="P66" s="283"/>
    </row>
    <row r="67" spans="2:26" ht="20.100000000000001" customHeight="1">
      <c r="B67" s="127"/>
      <c r="C67" s="121"/>
      <c r="D67" s="121"/>
      <c r="E67" s="10"/>
      <c r="F67" s="8"/>
      <c r="G67" s="128"/>
      <c r="H67" s="129"/>
      <c r="I67" s="294"/>
      <c r="J67" s="309" t="s">
        <v>411</v>
      </c>
      <c r="K67" s="270" t="s">
        <v>388</v>
      </c>
      <c r="L67" s="151">
        <f>L68</f>
        <v>5000000</v>
      </c>
      <c r="M67" s="151">
        <f>M68</f>
        <v>1000000</v>
      </c>
      <c r="N67" s="141">
        <f t="shared" si="6"/>
        <v>-4000000</v>
      </c>
      <c r="O67" s="450">
        <f t="shared" si="7"/>
        <v>-80</v>
      </c>
      <c r="P67" s="283"/>
    </row>
    <row r="68" spans="2:26" ht="20.100000000000001" customHeight="1" thickBot="1">
      <c r="B68" s="130"/>
      <c r="C68" s="131"/>
      <c r="D68" s="131"/>
      <c r="E68" s="44"/>
      <c r="F68" s="132"/>
      <c r="G68" s="133"/>
      <c r="H68" s="134"/>
      <c r="I68" s="301"/>
      <c r="J68" s="310"/>
      <c r="K68" s="180" t="str">
        <f>[2]세출!D117</f>
        <v>시설환경개선준비금</v>
      </c>
      <c r="L68" s="175">
        <f>[2]세출!E117</f>
        <v>5000000</v>
      </c>
      <c r="M68" s="175">
        <f>[2]세출!F117</f>
        <v>1000000</v>
      </c>
      <c r="N68" s="156">
        <f t="shared" si="6"/>
        <v>-4000000</v>
      </c>
      <c r="O68" s="455">
        <f t="shared" si="7"/>
        <v>-80</v>
      </c>
      <c r="P68" s="283"/>
    </row>
    <row r="69" spans="2:26" ht="20.100000000000001" customHeight="1">
      <c r="I69" s="474"/>
      <c r="J69" s="474"/>
      <c r="K69" s="474"/>
      <c r="L69" s="475"/>
      <c r="M69" s="475"/>
      <c r="N69" s="475"/>
      <c r="O69" s="476"/>
      <c r="P69" s="283"/>
    </row>
    <row r="70" spans="2:26" ht="20.100000000000001" customHeight="1">
      <c r="P70" s="283"/>
    </row>
    <row r="71" spans="2:26" ht="20.100000000000001" customHeight="1">
      <c r="F71" s="4"/>
      <c r="G71" s="11"/>
      <c r="P71" s="283"/>
    </row>
    <row r="72" spans="2:26" ht="20.100000000000001" customHeight="1">
      <c r="F72" s="4"/>
      <c r="G72" s="11"/>
      <c r="P72" s="283"/>
    </row>
    <row r="73" spans="2:26" ht="20.100000000000001" customHeight="1">
      <c r="F73" s="4"/>
      <c r="G73" s="11"/>
      <c r="P73" s="283"/>
    </row>
    <row r="74" spans="2:26" ht="20.100000000000001" customHeight="1">
      <c r="F74" s="4"/>
      <c r="G74" s="11"/>
      <c r="P74" s="283"/>
    </row>
    <row r="75" spans="2:26" ht="20.100000000000001" customHeight="1">
      <c r="F75" s="4"/>
      <c r="G75" s="11"/>
      <c r="P75" s="283"/>
    </row>
    <row r="76" spans="2:26" ht="20.100000000000001" customHeight="1">
      <c r="F76" s="4"/>
      <c r="G76" s="11"/>
      <c r="P76" s="283"/>
    </row>
    <row r="77" spans="2:26" ht="20.100000000000001" customHeight="1">
      <c r="F77" s="4"/>
      <c r="G77" s="11"/>
      <c r="P77" s="283"/>
    </row>
    <row r="78" spans="2:26" ht="20.100000000000001" customHeight="1">
      <c r="F78" s="4"/>
      <c r="G78" s="11"/>
      <c r="P78" s="283"/>
    </row>
    <row r="79" spans="2:26" ht="20.100000000000001" customHeight="1">
      <c r="F79" s="4"/>
      <c r="G79" s="11"/>
      <c r="P79" s="283"/>
    </row>
    <row r="80" spans="2:26">
      <c r="F80" s="4"/>
      <c r="G80" s="11"/>
      <c r="P80" s="283"/>
      <c r="Q80" s="269"/>
      <c r="R80" s="269"/>
      <c r="S80" s="269"/>
      <c r="T80" s="31"/>
      <c r="U80" s="31"/>
      <c r="V80" s="31"/>
      <c r="W80" s="6"/>
      <c r="X80" s="5"/>
      <c r="Y80" s="9"/>
      <c r="Z80" s="32"/>
    </row>
    <row r="81" spans="6:26">
      <c r="F81" s="4"/>
      <c r="G81" s="11"/>
      <c r="P81" s="283"/>
      <c r="Q81" s="308"/>
      <c r="R81" s="283"/>
      <c r="S81" s="283"/>
      <c r="T81" s="283"/>
      <c r="U81" s="283"/>
      <c r="V81" s="283"/>
      <c r="W81" s="283"/>
      <c r="X81" s="283"/>
      <c r="Y81" s="283"/>
      <c r="Z81" s="283"/>
    </row>
    <row r="82" spans="6:26">
      <c r="F82" s="4"/>
      <c r="G82" s="11"/>
      <c r="P82" s="283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6:26" ht="17.100000000000001" customHeight="1">
      <c r="F83" s="4"/>
      <c r="G83" s="11"/>
      <c r="P83" s="283"/>
    </row>
    <row r="84" spans="6:26" ht="17.100000000000001" customHeight="1">
      <c r="F84" s="4"/>
      <c r="G84" s="11"/>
      <c r="P84" s="283"/>
    </row>
    <row r="85" spans="6:26" ht="17.100000000000001" customHeight="1">
      <c r="F85" s="4"/>
      <c r="G85" s="11"/>
      <c r="P85" s="283"/>
    </row>
    <row r="86" spans="6:26" ht="17.100000000000001" customHeight="1">
      <c r="F86" s="4"/>
      <c r="G86" s="11"/>
      <c r="P86" s="283"/>
    </row>
    <row r="87" spans="6:26" ht="17.100000000000001" customHeight="1">
      <c r="F87" s="4"/>
      <c r="G87" s="11"/>
      <c r="P87" s="283"/>
      <c r="Y87" s="4"/>
      <c r="Z87" s="4"/>
    </row>
    <row r="88" spans="6:26" ht="17.100000000000001" customHeight="1">
      <c r="F88" s="4"/>
      <c r="G88" s="11"/>
      <c r="P88" s="283"/>
      <c r="Y88" s="4"/>
      <c r="Z88" s="4"/>
    </row>
    <row r="89" spans="6:26" ht="17.100000000000001" customHeight="1">
      <c r="F89" s="4"/>
      <c r="G89" s="11"/>
      <c r="P89" s="283"/>
      <c r="Y89" s="4"/>
      <c r="Z89" s="4"/>
    </row>
    <row r="90" spans="6:26" ht="17.100000000000001" customHeight="1">
      <c r="F90" s="4"/>
      <c r="G90" s="11"/>
      <c r="P90" s="283"/>
      <c r="Y90" s="4"/>
      <c r="Z90" s="4"/>
    </row>
    <row r="91" spans="6:26" ht="17.100000000000001" customHeight="1">
      <c r="F91" s="4"/>
      <c r="G91" s="11"/>
      <c r="P91" s="283"/>
      <c r="Y91" s="4"/>
      <c r="Z91" s="4"/>
    </row>
    <row r="92" spans="6:26" ht="17.100000000000001" customHeight="1">
      <c r="F92" s="4"/>
      <c r="G92" s="11"/>
      <c r="P92" s="283"/>
      <c r="Y92" s="4"/>
      <c r="Z92" s="4"/>
    </row>
    <row r="93" spans="6:26" ht="17.100000000000001" customHeight="1">
      <c r="F93" s="4"/>
      <c r="G93" s="11"/>
      <c r="P93" s="283"/>
      <c r="Y93" s="4"/>
      <c r="Z93" s="4"/>
    </row>
    <row r="94" spans="6:26" ht="17.100000000000001" customHeight="1">
      <c r="F94" s="4"/>
      <c r="G94" s="11"/>
      <c r="P94" s="283"/>
      <c r="Y94" s="4"/>
      <c r="Z94" s="4"/>
    </row>
    <row r="95" spans="6:26" ht="17.100000000000001" customHeight="1">
      <c r="F95" s="4"/>
      <c r="G95" s="11"/>
      <c r="P95" s="283"/>
      <c r="Y95" s="4"/>
      <c r="Z95" s="4"/>
    </row>
    <row r="96" spans="6:26" ht="17.100000000000001" customHeight="1">
      <c r="F96" s="4"/>
      <c r="G96" s="11"/>
      <c r="P96" s="283"/>
      <c r="Y96" s="4"/>
      <c r="Z96" s="4"/>
    </row>
    <row r="97" spans="6:26" ht="17.100000000000001" customHeight="1">
      <c r="F97" s="4"/>
      <c r="G97" s="11"/>
      <c r="P97" s="283"/>
      <c r="Y97" s="4"/>
      <c r="Z97" s="4"/>
    </row>
    <row r="98" spans="6:26" ht="17.100000000000001" customHeight="1">
      <c r="F98" s="4"/>
      <c r="G98" s="11"/>
      <c r="P98" s="283"/>
      <c r="Y98" s="4"/>
      <c r="Z98" s="4"/>
    </row>
    <row r="99" spans="6:26" ht="17.100000000000001" customHeight="1">
      <c r="F99" s="4"/>
      <c r="G99" s="11"/>
      <c r="P99" s="283"/>
      <c r="Y99" s="4"/>
      <c r="Z99" s="4"/>
    </row>
    <row r="100" spans="6:26" ht="17.100000000000001" customHeight="1">
      <c r="F100" s="4"/>
      <c r="G100" s="11"/>
      <c r="P100" s="283"/>
      <c r="Y100" s="4"/>
      <c r="Z100" s="4"/>
    </row>
    <row r="101" spans="6:26" ht="17.100000000000001" customHeight="1">
      <c r="F101" s="4"/>
      <c r="G101" s="11"/>
      <c r="P101" s="283"/>
      <c r="Y101" s="4"/>
      <c r="Z101" s="4"/>
    </row>
    <row r="102" spans="6:26" ht="17.100000000000001" customHeight="1">
      <c r="F102" s="4"/>
      <c r="G102" s="11"/>
      <c r="P102" s="283"/>
      <c r="Y102" s="4"/>
      <c r="Z102" s="4"/>
    </row>
    <row r="103" spans="6:26" ht="17.100000000000001" customHeight="1">
      <c r="F103" s="4"/>
      <c r="G103" s="11"/>
      <c r="P103" s="283"/>
      <c r="Y103" s="4"/>
      <c r="Z103" s="4"/>
    </row>
    <row r="104" spans="6:26" ht="17.100000000000001" customHeight="1">
      <c r="F104" s="4"/>
      <c r="G104" s="11"/>
      <c r="P104" s="283"/>
      <c r="Y104" s="4"/>
      <c r="Z104" s="4"/>
    </row>
    <row r="105" spans="6:26" ht="17.100000000000001" customHeight="1">
      <c r="F105" s="4"/>
      <c r="G105" s="11"/>
      <c r="P105" s="283"/>
      <c r="Y105" s="4"/>
      <c r="Z105" s="4"/>
    </row>
    <row r="106" spans="6:26" ht="17.100000000000001" customHeight="1">
      <c r="F106" s="4"/>
      <c r="G106" s="11"/>
      <c r="P106" s="283"/>
      <c r="Y106" s="4"/>
      <c r="Z106" s="4"/>
    </row>
    <row r="107" spans="6:26" ht="17.100000000000001" customHeight="1">
      <c r="F107" s="4"/>
      <c r="G107" s="11"/>
      <c r="P107" s="283"/>
      <c r="Y107" s="4"/>
      <c r="Z107" s="4"/>
    </row>
    <row r="108" spans="6:26" ht="17.100000000000001" customHeight="1">
      <c r="F108" s="4"/>
      <c r="G108" s="11"/>
      <c r="P108" s="283"/>
      <c r="Y108" s="4"/>
      <c r="Z108" s="4"/>
    </row>
    <row r="109" spans="6:26" ht="17.100000000000001" customHeight="1">
      <c r="F109" s="4"/>
      <c r="G109" s="11"/>
      <c r="P109" s="283"/>
      <c r="Y109" s="4"/>
      <c r="Z109" s="4"/>
    </row>
    <row r="110" spans="6:26" ht="17.100000000000001" customHeight="1">
      <c r="F110" s="4"/>
      <c r="G110" s="11"/>
      <c r="P110" s="283"/>
      <c r="Y110" s="4"/>
      <c r="Z110" s="4"/>
    </row>
    <row r="111" spans="6:26" ht="17.100000000000001" customHeight="1">
      <c r="F111" s="4"/>
      <c r="G111" s="11"/>
      <c r="P111" s="283"/>
      <c r="Y111" s="4"/>
      <c r="Z111" s="4"/>
    </row>
    <row r="112" spans="6:26" ht="17.100000000000001" customHeight="1">
      <c r="F112" s="4"/>
      <c r="G112" s="11"/>
      <c r="P112" s="283"/>
      <c r="Y112" s="4"/>
      <c r="Z112" s="4"/>
    </row>
    <row r="113" spans="6:26" ht="17.100000000000001" customHeight="1">
      <c r="F113" s="4"/>
      <c r="G113" s="11"/>
      <c r="P113" s="283"/>
      <c r="Y113" s="4"/>
      <c r="Z113" s="4"/>
    </row>
    <row r="114" spans="6:26" ht="17.100000000000001" customHeight="1">
      <c r="F114" s="4"/>
      <c r="G114" s="11"/>
      <c r="P114" s="283"/>
      <c r="Y114" s="4"/>
      <c r="Z114" s="4"/>
    </row>
    <row r="115" spans="6:26" ht="17.100000000000001" customHeight="1">
      <c r="F115" s="4"/>
      <c r="G115" s="11"/>
      <c r="P115" s="283"/>
      <c r="Y115" s="4"/>
      <c r="Z115" s="4"/>
    </row>
    <row r="116" spans="6:26" ht="17.100000000000001" customHeight="1">
      <c r="F116" s="4"/>
      <c r="G116" s="11"/>
      <c r="P116" s="283"/>
      <c r="Y116" s="4"/>
      <c r="Z116" s="4"/>
    </row>
    <row r="117" spans="6:26" ht="17.100000000000001" customHeight="1">
      <c r="F117" s="4"/>
      <c r="G117" s="11"/>
      <c r="P117" s="283"/>
      <c r="Y117" s="4"/>
      <c r="Z117" s="4"/>
    </row>
    <row r="118" spans="6:26" ht="17.100000000000001" customHeight="1">
      <c r="F118" s="4"/>
      <c r="G118" s="11"/>
      <c r="P118" s="283"/>
      <c r="Y118" s="4"/>
      <c r="Z118" s="4"/>
    </row>
    <row r="119" spans="6:26" ht="17.100000000000001" customHeight="1">
      <c r="F119" s="4"/>
      <c r="G119" s="11"/>
      <c r="P119" s="283"/>
      <c r="Y119" s="4"/>
      <c r="Z119" s="4"/>
    </row>
    <row r="120" spans="6:26">
      <c r="F120" s="4"/>
      <c r="G120" s="11"/>
      <c r="P120" s="283"/>
      <c r="Y120" s="4"/>
      <c r="Z120" s="4"/>
    </row>
    <row r="121" spans="6:26">
      <c r="F121" s="4"/>
      <c r="G121" s="11"/>
      <c r="P121" s="283"/>
      <c r="Y121" s="4"/>
      <c r="Z121" s="4"/>
    </row>
    <row r="122" spans="6:26" ht="17.100000000000001" customHeight="1">
      <c r="F122" s="4"/>
      <c r="G122" s="11"/>
      <c r="P122" s="283"/>
      <c r="Y122" s="4"/>
      <c r="Z122" s="4"/>
    </row>
    <row r="123" spans="6:26" ht="17.100000000000001" customHeight="1">
      <c r="F123" s="4"/>
      <c r="G123" s="11"/>
      <c r="P123" s="283"/>
      <c r="Y123" s="4"/>
      <c r="Z123" s="4"/>
    </row>
    <row r="124" spans="6:26" ht="17.100000000000001" customHeight="1">
      <c r="F124" s="4"/>
      <c r="G124" s="11"/>
      <c r="P124" s="283"/>
      <c r="Y124" s="4"/>
      <c r="Z124" s="4"/>
    </row>
    <row r="125" spans="6:26" ht="17.100000000000001" customHeight="1">
      <c r="F125" s="4"/>
      <c r="G125" s="11"/>
      <c r="P125" s="283"/>
      <c r="Y125" s="4"/>
      <c r="Z125" s="4"/>
    </row>
    <row r="126" spans="6:26" ht="17.100000000000001" customHeight="1">
      <c r="F126" s="4"/>
      <c r="G126" s="11"/>
      <c r="P126" s="283"/>
      <c r="Y126" s="4"/>
      <c r="Z126" s="4"/>
    </row>
    <row r="127" spans="6:26" ht="17.100000000000001" customHeight="1">
      <c r="F127" s="4"/>
      <c r="G127" s="11"/>
      <c r="P127" s="283"/>
      <c r="Y127" s="4"/>
      <c r="Z127" s="4"/>
    </row>
    <row r="128" spans="6:26" ht="17.100000000000001" customHeight="1">
      <c r="F128" s="4"/>
      <c r="G128" s="11"/>
      <c r="P128" s="283"/>
      <c r="Y128" s="4"/>
      <c r="Z128" s="4"/>
    </row>
    <row r="129" spans="6:26" ht="17.100000000000001" customHeight="1">
      <c r="F129" s="4"/>
      <c r="G129" s="11"/>
      <c r="P129" s="283"/>
      <c r="Y129" s="4"/>
      <c r="Z129" s="4"/>
    </row>
    <row r="130" spans="6:26" ht="17.100000000000001" customHeight="1">
      <c r="F130" s="4"/>
      <c r="G130" s="11"/>
      <c r="P130" s="283"/>
      <c r="Y130" s="4"/>
      <c r="Z130" s="4"/>
    </row>
    <row r="131" spans="6:26" ht="17.100000000000001" customHeight="1">
      <c r="F131" s="4"/>
      <c r="G131" s="11"/>
      <c r="P131" s="283"/>
      <c r="Y131" s="4"/>
      <c r="Z131" s="4"/>
    </row>
    <row r="132" spans="6:26" ht="17.100000000000001" customHeight="1">
      <c r="F132" s="4"/>
      <c r="G132" s="11"/>
      <c r="P132" s="283"/>
      <c r="Y132" s="4"/>
      <c r="Z132" s="4"/>
    </row>
    <row r="133" spans="6:26" ht="17.100000000000001" customHeight="1">
      <c r="F133" s="4"/>
      <c r="G133" s="11"/>
      <c r="P133" s="283"/>
      <c r="Y133" s="4"/>
      <c r="Z133" s="4"/>
    </row>
    <row r="134" spans="6:26" ht="17.100000000000001" customHeight="1">
      <c r="F134" s="4"/>
      <c r="G134" s="11"/>
      <c r="P134" s="283"/>
      <c r="Y134" s="4"/>
      <c r="Z134" s="4"/>
    </row>
    <row r="135" spans="6:26" ht="17.100000000000001" customHeight="1">
      <c r="F135" s="4"/>
      <c r="G135" s="11"/>
      <c r="P135" s="283"/>
      <c r="Y135" s="4"/>
      <c r="Z135" s="4"/>
    </row>
    <row r="136" spans="6:26" ht="17.100000000000001" customHeight="1">
      <c r="F136" s="4"/>
      <c r="G136" s="11"/>
      <c r="P136" s="283"/>
      <c r="Y136" s="4"/>
      <c r="Z136" s="4"/>
    </row>
    <row r="137" spans="6:26" ht="17.100000000000001" customHeight="1">
      <c r="F137" s="4"/>
      <c r="G137" s="11"/>
      <c r="P137" s="283"/>
      <c r="Y137" s="4"/>
      <c r="Z137" s="4"/>
    </row>
    <row r="138" spans="6:26" ht="17.100000000000001" customHeight="1">
      <c r="F138" s="4"/>
      <c r="G138" s="11"/>
      <c r="P138" s="283"/>
      <c r="Y138" s="4"/>
      <c r="Z138" s="4"/>
    </row>
    <row r="139" spans="6:26" ht="17.100000000000001" customHeight="1">
      <c r="F139" s="4"/>
      <c r="G139" s="11"/>
      <c r="P139" s="283"/>
      <c r="Y139" s="4"/>
      <c r="Z139" s="4"/>
    </row>
    <row r="140" spans="6:26" ht="17.100000000000001" customHeight="1">
      <c r="F140" s="4"/>
      <c r="G140" s="11"/>
      <c r="P140" s="283"/>
      <c r="Y140" s="4"/>
      <c r="Z140" s="4"/>
    </row>
    <row r="141" spans="6:26" ht="17.100000000000001" customHeight="1">
      <c r="F141" s="4"/>
      <c r="G141" s="11"/>
      <c r="P141" s="283"/>
      <c r="Y141" s="4"/>
      <c r="Z141" s="4"/>
    </row>
    <row r="142" spans="6:26" ht="17.100000000000001" customHeight="1">
      <c r="F142" s="4"/>
      <c r="G142" s="11"/>
      <c r="P142" s="283"/>
      <c r="Y142" s="4"/>
      <c r="Z142" s="4"/>
    </row>
    <row r="143" spans="6:26" ht="17.100000000000001" customHeight="1">
      <c r="F143" s="4"/>
      <c r="G143" s="11"/>
      <c r="P143" s="283"/>
      <c r="Y143" s="4"/>
      <c r="Z143" s="4"/>
    </row>
    <row r="144" spans="6:26" ht="17.100000000000001" customHeight="1">
      <c r="F144" s="4"/>
      <c r="G144" s="11"/>
      <c r="P144" s="283"/>
      <c r="Y144" s="4"/>
      <c r="Z144" s="4"/>
    </row>
    <row r="145" spans="6:26" ht="17.100000000000001" customHeight="1">
      <c r="F145" s="4"/>
      <c r="G145" s="11"/>
      <c r="P145" s="283"/>
      <c r="Y145" s="4"/>
      <c r="Z145" s="4"/>
    </row>
    <row r="146" spans="6:26" ht="17.100000000000001" customHeight="1">
      <c r="F146" s="4"/>
      <c r="G146" s="11"/>
      <c r="P146" s="283"/>
      <c r="Y146" s="4"/>
      <c r="Z146" s="4"/>
    </row>
    <row r="147" spans="6:26" ht="17.100000000000001" customHeight="1">
      <c r="F147" s="4"/>
      <c r="G147" s="11"/>
      <c r="P147" s="283"/>
      <c r="Y147" s="4"/>
      <c r="Z147" s="4"/>
    </row>
    <row r="148" spans="6:26" ht="17.100000000000001" customHeight="1">
      <c r="F148" s="4"/>
      <c r="G148" s="11"/>
      <c r="P148" s="283"/>
      <c r="Y148" s="4"/>
      <c r="Z148" s="4"/>
    </row>
    <row r="149" spans="6:26" ht="17.100000000000001" customHeight="1">
      <c r="F149" s="4"/>
      <c r="G149" s="11"/>
      <c r="P149" s="283"/>
      <c r="Y149" s="4"/>
      <c r="Z149" s="4"/>
    </row>
    <row r="150" spans="6:26" ht="17.100000000000001" customHeight="1">
      <c r="F150" s="4"/>
      <c r="G150" s="11"/>
      <c r="P150" s="283"/>
      <c r="Y150" s="4"/>
      <c r="Z150" s="4"/>
    </row>
    <row r="151" spans="6:26" ht="17.100000000000001" customHeight="1">
      <c r="F151" s="4"/>
      <c r="G151" s="11"/>
      <c r="P151" s="283"/>
      <c r="Y151" s="4"/>
      <c r="Z151" s="4"/>
    </row>
    <row r="152" spans="6:26" ht="17.100000000000001" customHeight="1">
      <c r="F152" s="4"/>
      <c r="G152" s="11"/>
      <c r="P152" s="283"/>
      <c r="Y152" s="4"/>
      <c r="Z152" s="4"/>
    </row>
    <row r="153" spans="6:26" ht="17.100000000000001" customHeight="1">
      <c r="F153" s="4"/>
      <c r="G153" s="11"/>
      <c r="P153" s="283"/>
      <c r="Y153" s="4"/>
      <c r="Z153" s="4"/>
    </row>
    <row r="154" spans="6:26" ht="17.100000000000001" customHeight="1">
      <c r="F154" s="4"/>
      <c r="G154" s="11"/>
      <c r="P154" s="283"/>
      <c r="Y154" s="4"/>
      <c r="Z154" s="4"/>
    </row>
    <row r="155" spans="6:26" ht="17.100000000000001" customHeight="1">
      <c r="F155" s="4"/>
      <c r="G155" s="11"/>
      <c r="P155" s="283"/>
      <c r="Y155" s="4"/>
      <c r="Z155" s="4"/>
    </row>
    <row r="156" spans="6:26" ht="17.100000000000001" customHeight="1">
      <c r="F156" s="4"/>
      <c r="G156" s="11"/>
      <c r="P156" s="283"/>
      <c r="Y156" s="4"/>
      <c r="Z156" s="4"/>
    </row>
    <row r="157" spans="6:26" ht="17.100000000000001" customHeight="1">
      <c r="F157" s="4"/>
      <c r="G157" s="11"/>
      <c r="P157" s="283"/>
      <c r="Y157" s="4"/>
      <c r="Z157" s="4"/>
    </row>
    <row r="158" spans="6:26">
      <c r="F158" s="4"/>
      <c r="G158" s="11"/>
      <c r="P158" s="283"/>
      <c r="Y158" s="4"/>
      <c r="Z158" s="4"/>
    </row>
    <row r="159" spans="6:26">
      <c r="F159" s="4"/>
      <c r="G159" s="11"/>
      <c r="P159" s="283"/>
      <c r="Y159" s="4"/>
      <c r="Z159" s="4"/>
    </row>
    <row r="160" spans="6:26">
      <c r="F160" s="4"/>
      <c r="G160" s="11"/>
      <c r="P160" s="283"/>
      <c r="Y160" s="4"/>
      <c r="Z160" s="4"/>
    </row>
    <row r="161" spans="6:26">
      <c r="F161" s="4"/>
      <c r="G161" s="11"/>
      <c r="P161" s="283"/>
      <c r="Y161" s="4"/>
      <c r="Z161" s="4"/>
    </row>
    <row r="162" spans="6:26">
      <c r="F162" s="4"/>
      <c r="G162" s="11"/>
      <c r="P162" s="283"/>
      <c r="Y162" s="4"/>
      <c r="Z162" s="4"/>
    </row>
    <row r="163" spans="6:26">
      <c r="F163" s="4"/>
      <c r="G163" s="11"/>
      <c r="P163" s="283"/>
      <c r="Y163" s="4"/>
      <c r="Z163" s="4"/>
    </row>
    <row r="164" spans="6:26">
      <c r="F164" s="4"/>
      <c r="G164" s="11"/>
      <c r="P164" s="283"/>
      <c r="Y164" s="4"/>
      <c r="Z164" s="4"/>
    </row>
    <row r="165" spans="6:26" ht="17.100000000000001" customHeight="1">
      <c r="F165" s="4"/>
      <c r="G165" s="11"/>
      <c r="P165" s="283"/>
      <c r="Y165" s="4"/>
      <c r="Z165" s="4"/>
    </row>
    <row r="166" spans="6:26" ht="17.100000000000001" customHeight="1">
      <c r="F166" s="4"/>
      <c r="G166" s="11"/>
      <c r="P166" s="283"/>
      <c r="Y166" s="4"/>
      <c r="Z166" s="4"/>
    </row>
    <row r="167" spans="6:26" ht="17.100000000000001" customHeight="1">
      <c r="F167" s="4"/>
      <c r="G167" s="11"/>
      <c r="P167" s="283"/>
      <c r="Y167" s="4"/>
      <c r="Z167" s="4"/>
    </row>
    <row r="168" spans="6:26" ht="17.100000000000001" customHeight="1">
      <c r="F168" s="4"/>
      <c r="G168" s="11"/>
      <c r="P168" s="283"/>
      <c r="Y168" s="4"/>
      <c r="Z168" s="4"/>
    </row>
    <row r="169" spans="6:26" ht="17.100000000000001" customHeight="1">
      <c r="F169" s="4"/>
      <c r="G169" s="11"/>
      <c r="P169" s="283"/>
      <c r="Y169" s="4"/>
      <c r="Z169" s="4"/>
    </row>
    <row r="170" spans="6:26" ht="17.100000000000001" customHeight="1">
      <c r="F170" s="4"/>
      <c r="G170" s="11"/>
      <c r="P170" s="283"/>
      <c r="Y170" s="4"/>
      <c r="Z170" s="4"/>
    </row>
    <row r="171" spans="6:26" ht="17.100000000000001" customHeight="1">
      <c r="F171" s="4"/>
      <c r="G171" s="11"/>
      <c r="P171" s="283"/>
      <c r="Y171" s="4"/>
      <c r="Z171" s="4"/>
    </row>
    <row r="172" spans="6:26" ht="17.100000000000001" customHeight="1">
      <c r="F172" s="4"/>
      <c r="G172" s="11"/>
      <c r="P172" s="283"/>
      <c r="Y172" s="4"/>
      <c r="Z172" s="4"/>
    </row>
    <row r="173" spans="6:26" ht="17.100000000000001" customHeight="1">
      <c r="F173" s="4"/>
      <c r="G173" s="11"/>
      <c r="P173" s="283"/>
      <c r="Y173" s="4"/>
      <c r="Z173" s="4"/>
    </row>
    <row r="174" spans="6:26" ht="17.100000000000001" customHeight="1">
      <c r="F174" s="4"/>
      <c r="G174" s="11"/>
      <c r="P174" s="283"/>
      <c r="Y174" s="4"/>
      <c r="Z174" s="4"/>
    </row>
    <row r="175" spans="6:26" ht="17.100000000000001" customHeight="1">
      <c r="F175" s="4"/>
      <c r="G175" s="11"/>
      <c r="P175" s="283"/>
      <c r="Y175" s="4"/>
      <c r="Z175" s="4"/>
    </row>
    <row r="176" spans="6:26" ht="17.100000000000001" customHeight="1">
      <c r="F176" s="4"/>
      <c r="G176" s="11"/>
      <c r="P176" s="283"/>
      <c r="Y176" s="4"/>
      <c r="Z176" s="4"/>
    </row>
    <row r="177" spans="6:26" ht="17.100000000000001" customHeight="1">
      <c r="F177" s="4"/>
      <c r="G177" s="11"/>
      <c r="P177" s="283"/>
      <c r="Y177" s="4"/>
      <c r="Z177" s="4"/>
    </row>
    <row r="178" spans="6:26" ht="17.100000000000001" customHeight="1">
      <c r="F178" s="4"/>
      <c r="G178" s="11"/>
      <c r="P178" s="283"/>
      <c r="Y178" s="4"/>
      <c r="Z178" s="4"/>
    </row>
    <row r="179" spans="6:26" ht="17.100000000000001" customHeight="1">
      <c r="F179" s="4"/>
      <c r="G179" s="11"/>
      <c r="P179" s="283"/>
      <c r="Y179" s="4"/>
      <c r="Z179" s="4"/>
    </row>
    <row r="180" spans="6:26" ht="17.100000000000001" customHeight="1">
      <c r="F180" s="4"/>
      <c r="G180" s="11"/>
      <c r="P180" s="283"/>
      <c r="Y180" s="4"/>
      <c r="Z180" s="4"/>
    </row>
    <row r="181" spans="6:26" ht="17.100000000000001" customHeight="1">
      <c r="F181" s="4"/>
      <c r="G181" s="11"/>
      <c r="P181" s="283"/>
      <c r="Y181" s="4"/>
      <c r="Z181" s="4"/>
    </row>
    <row r="182" spans="6:26" ht="17.100000000000001" customHeight="1">
      <c r="F182" s="4"/>
      <c r="G182" s="11"/>
      <c r="P182" s="283"/>
      <c r="Y182" s="4"/>
      <c r="Z182" s="4"/>
    </row>
    <row r="183" spans="6:26" ht="17.100000000000001" customHeight="1">
      <c r="F183" s="4"/>
      <c r="G183" s="11"/>
      <c r="P183" s="283"/>
      <c r="Y183" s="4"/>
      <c r="Z183" s="4"/>
    </row>
    <row r="184" spans="6:26" ht="17.100000000000001" customHeight="1">
      <c r="F184" s="4"/>
      <c r="G184" s="11"/>
      <c r="P184" s="283"/>
      <c r="Y184" s="4"/>
      <c r="Z184" s="4"/>
    </row>
    <row r="185" spans="6:26" ht="17.100000000000001" customHeight="1">
      <c r="F185" s="4"/>
      <c r="G185" s="11"/>
      <c r="P185" s="283"/>
      <c r="Y185" s="4"/>
      <c r="Z185" s="4"/>
    </row>
    <row r="186" spans="6:26" ht="17.100000000000001" customHeight="1">
      <c r="F186" s="4"/>
      <c r="G186" s="11"/>
      <c r="P186" s="283"/>
      <c r="Y186" s="4"/>
      <c r="Z186" s="4"/>
    </row>
    <row r="187" spans="6:26" ht="17.100000000000001" customHeight="1">
      <c r="F187" s="4"/>
      <c r="G187" s="11"/>
      <c r="P187" s="283"/>
      <c r="Y187" s="4"/>
      <c r="Z187" s="4"/>
    </row>
    <row r="188" spans="6:26" ht="17.100000000000001" customHeight="1">
      <c r="F188" s="4"/>
      <c r="G188" s="11"/>
      <c r="P188" s="283"/>
      <c r="Y188" s="4"/>
      <c r="Z188" s="4"/>
    </row>
    <row r="189" spans="6:26" ht="17.100000000000001" customHeight="1">
      <c r="F189" s="4"/>
      <c r="G189" s="11"/>
      <c r="P189" s="283"/>
      <c r="Y189" s="4"/>
      <c r="Z189" s="4"/>
    </row>
    <row r="190" spans="6:26" ht="17.100000000000001" customHeight="1">
      <c r="F190" s="4"/>
      <c r="G190" s="11"/>
      <c r="P190" s="283"/>
      <c r="Y190" s="4"/>
      <c r="Z190" s="4"/>
    </row>
    <row r="191" spans="6:26" ht="17.100000000000001" customHeight="1">
      <c r="F191" s="4"/>
      <c r="G191" s="11"/>
      <c r="P191" s="283"/>
      <c r="Y191" s="4"/>
      <c r="Z191" s="4"/>
    </row>
    <row r="192" spans="6:26" ht="17.100000000000001" customHeight="1">
      <c r="F192" s="4"/>
      <c r="G192" s="11"/>
      <c r="P192" s="283"/>
      <c r="Y192" s="4"/>
      <c r="Z192" s="4"/>
    </row>
    <row r="193" spans="6:26" ht="17.100000000000001" customHeight="1">
      <c r="F193" s="4"/>
      <c r="G193" s="11"/>
      <c r="P193" s="283"/>
      <c r="Y193" s="4"/>
      <c r="Z193" s="4"/>
    </row>
    <row r="194" spans="6:26" ht="17.100000000000001" customHeight="1">
      <c r="F194" s="4"/>
      <c r="G194" s="11"/>
      <c r="P194" s="283"/>
      <c r="Y194" s="4"/>
      <c r="Z194" s="4"/>
    </row>
    <row r="195" spans="6:26" ht="17.100000000000001" customHeight="1">
      <c r="F195" s="4"/>
      <c r="G195" s="11"/>
      <c r="P195" s="283"/>
      <c r="Y195" s="4"/>
      <c r="Z195" s="4"/>
    </row>
    <row r="196" spans="6:26" ht="17.100000000000001" customHeight="1">
      <c r="F196" s="4"/>
      <c r="G196" s="11"/>
      <c r="P196" s="283"/>
      <c r="Y196" s="4"/>
      <c r="Z196" s="4"/>
    </row>
    <row r="197" spans="6:26" ht="17.100000000000001" customHeight="1">
      <c r="F197" s="4"/>
      <c r="G197" s="11"/>
      <c r="P197" s="283"/>
      <c r="Y197" s="4"/>
      <c r="Z197" s="4"/>
    </row>
    <row r="198" spans="6:26" ht="17.100000000000001" customHeight="1">
      <c r="F198" s="4"/>
      <c r="G198" s="11"/>
      <c r="P198" s="283"/>
      <c r="Y198" s="4"/>
      <c r="Z198" s="4"/>
    </row>
    <row r="199" spans="6:26" ht="17.100000000000001" customHeight="1">
      <c r="F199" s="4"/>
      <c r="G199" s="11"/>
      <c r="P199" s="283"/>
      <c r="Y199" s="4"/>
      <c r="Z199" s="4"/>
    </row>
    <row r="200" spans="6:26" ht="17.100000000000001" customHeight="1">
      <c r="F200" s="4"/>
      <c r="G200" s="11"/>
      <c r="P200" s="283"/>
      <c r="Y200" s="4"/>
      <c r="Z200" s="4"/>
    </row>
    <row r="201" spans="6:26" ht="17.100000000000001" customHeight="1">
      <c r="F201" s="4"/>
      <c r="G201" s="11"/>
      <c r="P201" s="283"/>
      <c r="Y201" s="4"/>
      <c r="Z201" s="4"/>
    </row>
    <row r="202" spans="6:26" ht="17.100000000000001" customHeight="1">
      <c r="F202" s="4"/>
      <c r="G202" s="11"/>
      <c r="P202" s="283"/>
      <c r="Y202" s="4"/>
      <c r="Z202" s="4"/>
    </row>
    <row r="203" spans="6:26" ht="17.100000000000001" customHeight="1">
      <c r="F203" s="4"/>
      <c r="G203" s="11"/>
      <c r="P203" s="283"/>
      <c r="Y203" s="4"/>
      <c r="Z203" s="4"/>
    </row>
    <row r="204" spans="6:26" ht="17.100000000000001" customHeight="1">
      <c r="F204" s="4"/>
      <c r="G204" s="11"/>
      <c r="P204" s="283"/>
      <c r="Y204" s="4"/>
      <c r="Z204" s="4"/>
    </row>
    <row r="205" spans="6:26" ht="17.100000000000001" customHeight="1">
      <c r="F205" s="4"/>
      <c r="G205" s="11"/>
      <c r="P205" s="283"/>
      <c r="Y205" s="4"/>
      <c r="Z205" s="4"/>
    </row>
    <row r="206" spans="6:26" ht="17.100000000000001" customHeight="1">
      <c r="F206" s="4"/>
      <c r="G206" s="11"/>
      <c r="P206" s="283"/>
      <c r="Y206" s="4"/>
      <c r="Z206" s="4"/>
    </row>
    <row r="207" spans="6:26" ht="17.100000000000001" customHeight="1">
      <c r="F207" s="4"/>
      <c r="G207" s="11"/>
      <c r="P207" s="276"/>
      <c r="Y207" s="4"/>
      <c r="Z207" s="4"/>
    </row>
    <row r="208" spans="6:26" ht="17.100000000000001" customHeight="1">
      <c r="F208" s="4"/>
      <c r="G208" s="11"/>
      <c r="P208" s="276"/>
      <c r="Y208" s="4"/>
      <c r="Z208" s="4"/>
    </row>
    <row r="209" spans="6:26" ht="17.100000000000001" customHeight="1">
      <c r="F209" s="4"/>
      <c r="G209" s="11"/>
      <c r="P209" s="276"/>
      <c r="Y209" s="4"/>
      <c r="Z209" s="4"/>
    </row>
    <row r="210" spans="6:26" ht="17.100000000000001" customHeight="1">
      <c r="F210" s="4"/>
      <c r="G210" s="11"/>
      <c r="P210" s="276"/>
      <c r="Y210" s="4"/>
      <c r="Z210" s="4"/>
    </row>
    <row r="211" spans="6:26" ht="17.100000000000001" customHeight="1">
      <c r="F211" s="4"/>
      <c r="G211" s="11"/>
      <c r="P211" s="276"/>
      <c r="Y211" s="4"/>
      <c r="Z211" s="4"/>
    </row>
    <row r="212" spans="6:26" ht="17.100000000000001" customHeight="1">
      <c r="F212" s="4"/>
      <c r="G212" s="11"/>
      <c r="P212" s="276"/>
      <c r="Y212" s="4"/>
      <c r="Z212" s="4"/>
    </row>
    <row r="213" spans="6:26" ht="17.100000000000001" customHeight="1">
      <c r="F213" s="4"/>
      <c r="G213" s="11"/>
      <c r="P213" s="276"/>
      <c r="Y213" s="4"/>
      <c r="Z213" s="4"/>
    </row>
    <row r="214" spans="6:26" ht="17.100000000000001" customHeight="1">
      <c r="F214" s="4"/>
      <c r="G214" s="11"/>
      <c r="P214" s="276"/>
      <c r="Y214" s="4"/>
      <c r="Z214" s="4"/>
    </row>
    <row r="215" spans="6:26" ht="17.100000000000001" customHeight="1">
      <c r="F215" s="4"/>
      <c r="G215" s="11"/>
      <c r="P215" s="276"/>
      <c r="Y215" s="4"/>
      <c r="Z215" s="4"/>
    </row>
    <row r="216" spans="6:26" ht="17.100000000000001" customHeight="1">
      <c r="F216" s="4"/>
      <c r="G216" s="11"/>
      <c r="P216" s="276"/>
      <c r="Y216" s="4"/>
      <c r="Z216" s="4"/>
    </row>
    <row r="217" spans="6:26" ht="17.100000000000001" customHeight="1">
      <c r="F217" s="4"/>
      <c r="G217" s="11"/>
      <c r="P217" s="276"/>
      <c r="Y217" s="4"/>
      <c r="Z217" s="4"/>
    </row>
    <row r="218" spans="6:26" ht="17.100000000000001" customHeight="1">
      <c r="F218" s="4"/>
      <c r="G218" s="11"/>
      <c r="P218" s="276"/>
      <c r="Y218" s="4"/>
      <c r="Z218" s="4"/>
    </row>
    <row r="219" spans="6:26" ht="17.100000000000001" customHeight="1">
      <c r="F219" s="4"/>
      <c r="G219" s="11"/>
      <c r="P219" s="276"/>
      <c r="Y219" s="4"/>
      <c r="Z219" s="4"/>
    </row>
    <row r="220" spans="6:26" ht="17.100000000000001" customHeight="1">
      <c r="F220" s="4"/>
      <c r="G220" s="11"/>
      <c r="Y220" s="4"/>
      <c r="Z220" s="4"/>
    </row>
    <row r="221" spans="6:26" ht="17.100000000000001" customHeight="1">
      <c r="F221" s="4"/>
      <c r="G221" s="11"/>
      <c r="Y221" s="4"/>
      <c r="Z221" s="4"/>
    </row>
    <row r="222" spans="6:26" ht="17.100000000000001" customHeight="1">
      <c r="F222" s="4"/>
      <c r="G222" s="11"/>
      <c r="Y222" s="4"/>
      <c r="Z222" s="4"/>
    </row>
    <row r="223" spans="6:26" ht="17.100000000000001" customHeight="1">
      <c r="F223" s="4"/>
      <c r="G223" s="11"/>
      <c r="Y223" s="4"/>
      <c r="Z223" s="4"/>
    </row>
    <row r="224" spans="6:26" ht="17.100000000000001" customHeight="1">
      <c r="F224" s="4"/>
      <c r="G224" s="11"/>
      <c r="Y224" s="4"/>
      <c r="Z224" s="4"/>
    </row>
    <row r="225" spans="6:26" ht="17.100000000000001" customHeight="1">
      <c r="F225" s="4"/>
      <c r="G225" s="11"/>
      <c r="Y225" s="4"/>
      <c r="Z225" s="4"/>
    </row>
    <row r="226" spans="6:26" ht="17.100000000000001" customHeight="1">
      <c r="F226" s="4"/>
      <c r="G226" s="11"/>
      <c r="Y226" s="4"/>
      <c r="Z226" s="4"/>
    </row>
    <row r="227" spans="6:26" ht="17.100000000000001" customHeight="1">
      <c r="F227" s="4"/>
      <c r="G227" s="11"/>
      <c r="Y227" s="4"/>
      <c r="Z227" s="4"/>
    </row>
    <row r="228" spans="6:26" ht="17.100000000000001" customHeight="1">
      <c r="F228" s="4"/>
      <c r="G228" s="11"/>
      <c r="Y228" s="4"/>
      <c r="Z228" s="4"/>
    </row>
  </sheetData>
  <mergeCells count="93">
    <mergeCell ref="Q81:Z81"/>
    <mergeCell ref="P82:P206"/>
    <mergeCell ref="P61:P81"/>
    <mergeCell ref="I63:I65"/>
    <mergeCell ref="J63:K63"/>
    <mergeCell ref="J64:J65"/>
    <mergeCell ref="I66:I68"/>
    <mergeCell ref="J66:K66"/>
    <mergeCell ref="J67:J68"/>
    <mergeCell ref="I57:I59"/>
    <mergeCell ref="J57:K57"/>
    <mergeCell ref="J58:J59"/>
    <mergeCell ref="I60:I62"/>
    <mergeCell ref="J60:K60"/>
    <mergeCell ref="J61:J62"/>
    <mergeCell ref="I44:I50"/>
    <mergeCell ref="J45:J50"/>
    <mergeCell ref="I51:I53"/>
    <mergeCell ref="J51:K51"/>
    <mergeCell ref="J52:J53"/>
    <mergeCell ref="I54:I56"/>
    <mergeCell ref="J54:K54"/>
    <mergeCell ref="J55:J56"/>
    <mergeCell ref="U41:U42"/>
    <mergeCell ref="V41:W41"/>
    <mergeCell ref="B42:B43"/>
    <mergeCell ref="C42:C43"/>
    <mergeCell ref="D42:D43"/>
    <mergeCell ref="E42:E43"/>
    <mergeCell ref="F42:F43"/>
    <mergeCell ref="G42:H42"/>
    <mergeCell ref="I42:I43"/>
    <mergeCell ref="J42:J43"/>
    <mergeCell ref="B41:H41"/>
    <mergeCell ref="I41:O41"/>
    <mergeCell ref="Q41:Q42"/>
    <mergeCell ref="R41:R42"/>
    <mergeCell ref="S41:S42"/>
    <mergeCell ref="T41:T42"/>
    <mergeCell ref="K42:K43"/>
    <mergeCell ref="L42:L43"/>
    <mergeCell ref="M42:M43"/>
    <mergeCell ref="N42:O42"/>
    <mergeCell ref="I24:I28"/>
    <mergeCell ref="J24:K24"/>
    <mergeCell ref="J25:J28"/>
    <mergeCell ref="I29:I40"/>
    <mergeCell ref="J30:J37"/>
    <mergeCell ref="J38:J40"/>
    <mergeCell ref="C13:D13"/>
    <mergeCell ref="C14:C15"/>
    <mergeCell ref="J14:J16"/>
    <mergeCell ref="B16:B18"/>
    <mergeCell ref="C16:D16"/>
    <mergeCell ref="C17:C18"/>
    <mergeCell ref="J17:J23"/>
    <mergeCell ref="C19:D19"/>
    <mergeCell ref="B7:B9"/>
    <mergeCell ref="C7:D7"/>
    <mergeCell ref="I7:I23"/>
    <mergeCell ref="J7:K7"/>
    <mergeCell ref="C8:C9"/>
    <mergeCell ref="J8:J13"/>
    <mergeCell ref="B10:B12"/>
    <mergeCell ref="C10:D10"/>
    <mergeCell ref="C11:C12"/>
    <mergeCell ref="B13:B15"/>
    <mergeCell ref="L4:L5"/>
    <mergeCell ref="M4:M5"/>
    <mergeCell ref="N4:O4"/>
    <mergeCell ref="B6:D6"/>
    <mergeCell ref="I6:K6"/>
    <mergeCell ref="R6:S6"/>
    <mergeCell ref="R3:R4"/>
    <mergeCell ref="S3:S4"/>
    <mergeCell ref="T3:T4"/>
    <mergeCell ref="U3:U4"/>
    <mergeCell ref="V3:W3"/>
    <mergeCell ref="B4:B5"/>
    <mergeCell ref="C4:C5"/>
    <mergeCell ref="D4:D5"/>
    <mergeCell ref="E4:E5"/>
    <mergeCell ref="F4:F5"/>
    <mergeCell ref="B1:O1"/>
    <mergeCell ref="B2:D2"/>
    <mergeCell ref="N2:O2"/>
    <mergeCell ref="B3:H3"/>
    <mergeCell ref="I3:O3"/>
    <mergeCell ref="Q3:Q4"/>
    <mergeCell ref="G4:H4"/>
    <mergeCell ref="I4:I5"/>
    <mergeCell ref="J4:J5"/>
    <mergeCell ref="K4:K5"/>
  </mergeCells>
  <phoneticPr fontId="2" type="noConversion"/>
  <pageMargins left="0.19685039370078741" right="0.19685039370078741" top="0.19685039370078741" bottom="0.19685039370078741" header="0" footer="0"/>
  <pageSetup paperSize="9" scale="8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Z134"/>
  <sheetViews>
    <sheetView view="pageBreakPreview" zoomScaleSheetLayoutView="100" workbookViewId="0">
      <pane xSplit="1" topLeftCell="C1" activePane="topRight" state="frozen"/>
      <selection activeCell="O35" sqref="O35"/>
      <selection pane="topRight" activeCell="O35" sqref="O35"/>
    </sheetView>
  </sheetViews>
  <sheetFormatPr defaultRowHeight="13.5"/>
  <cols>
    <col min="1" max="1" width="2.44140625" style="4" customWidth="1"/>
    <col min="2" max="2" width="7.77734375" style="275" customWidth="1"/>
    <col min="3" max="3" width="8.33203125" style="275" customWidth="1"/>
    <col min="4" max="4" width="13.33203125" style="275" customWidth="1"/>
    <col min="5" max="5" width="12.33203125" style="11" customWidth="1"/>
    <col min="6" max="6" width="12.33203125" style="17" customWidth="1"/>
    <col min="7" max="7" width="12.33203125" style="33" customWidth="1"/>
    <col min="8" max="8" width="8.88671875" style="4" customWidth="1"/>
    <col min="9" max="10" width="8.21875" style="275" customWidth="1"/>
    <col min="11" max="11" width="16.6640625" style="275" customWidth="1"/>
    <col min="12" max="14" width="12.21875" style="11" customWidth="1"/>
    <col min="15" max="15" width="7.77734375" style="477" customWidth="1"/>
    <col min="16" max="16" width="8.88671875" style="4"/>
    <col min="17" max="17" width="9.44140625" style="4" bestFit="1" customWidth="1"/>
    <col min="18" max="18" width="8.88671875" style="4"/>
    <col min="19" max="19" width="17.21875" style="4" bestFit="1" customWidth="1"/>
    <col min="20" max="23" width="8.88671875" style="4"/>
    <col min="24" max="24" width="27.33203125" style="4" bestFit="1" customWidth="1"/>
    <col min="25" max="25" width="34.33203125" style="17" bestFit="1" customWidth="1"/>
    <col min="26" max="26" width="13.6640625" style="27" bestFit="1" customWidth="1"/>
    <col min="27" max="16384" width="8.88671875" style="4"/>
  </cols>
  <sheetData>
    <row r="1" spans="2:26" ht="29.25" customHeight="1">
      <c r="B1" s="332" t="s">
        <v>476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2:26" ht="16.5" customHeight="1" thickBot="1">
      <c r="B2" s="342"/>
      <c r="C2" s="342"/>
      <c r="D2" s="342"/>
      <c r="E2" s="24"/>
      <c r="F2" s="28"/>
      <c r="G2" s="29"/>
      <c r="H2" s="7"/>
      <c r="I2" s="53"/>
      <c r="J2" s="53"/>
      <c r="K2" s="53"/>
      <c r="L2" s="24"/>
      <c r="M2" s="24"/>
      <c r="N2" s="371" t="s">
        <v>44</v>
      </c>
      <c r="O2" s="372"/>
      <c r="P2" s="5"/>
      <c r="Q2" s="5"/>
      <c r="R2" s="5"/>
      <c r="S2" s="5"/>
      <c r="T2" s="5"/>
      <c r="U2" s="5"/>
      <c r="V2" s="5"/>
      <c r="W2" s="5"/>
      <c r="X2" s="5"/>
    </row>
    <row r="3" spans="2:26" ht="15" customHeight="1">
      <c r="B3" s="321" t="s">
        <v>32</v>
      </c>
      <c r="C3" s="322"/>
      <c r="D3" s="322"/>
      <c r="E3" s="322"/>
      <c r="F3" s="322"/>
      <c r="G3" s="322"/>
      <c r="H3" s="322"/>
      <c r="I3" s="322" t="s">
        <v>33</v>
      </c>
      <c r="J3" s="322"/>
      <c r="K3" s="322"/>
      <c r="L3" s="322"/>
      <c r="M3" s="322"/>
      <c r="N3" s="322"/>
      <c r="O3" s="336"/>
      <c r="P3" s="5"/>
      <c r="Q3" s="323"/>
      <c r="R3" s="323"/>
      <c r="S3" s="323"/>
      <c r="T3" s="324"/>
      <c r="U3" s="324"/>
      <c r="V3" s="323"/>
      <c r="W3" s="323"/>
      <c r="X3" s="5"/>
    </row>
    <row r="4" spans="2:26" ht="20.25" customHeight="1">
      <c r="B4" s="326" t="s">
        <v>2</v>
      </c>
      <c r="C4" s="300" t="s">
        <v>3</v>
      </c>
      <c r="D4" s="300" t="s">
        <v>4</v>
      </c>
      <c r="E4" s="331" t="s">
        <v>230</v>
      </c>
      <c r="F4" s="331" t="s">
        <v>231</v>
      </c>
      <c r="G4" s="300" t="s">
        <v>5</v>
      </c>
      <c r="H4" s="300"/>
      <c r="I4" s="300" t="s">
        <v>2</v>
      </c>
      <c r="J4" s="300" t="s">
        <v>3</v>
      </c>
      <c r="K4" s="300" t="s">
        <v>4</v>
      </c>
      <c r="L4" s="331" t="s">
        <v>230</v>
      </c>
      <c r="M4" s="331" t="s">
        <v>231</v>
      </c>
      <c r="N4" s="300" t="s">
        <v>5</v>
      </c>
      <c r="O4" s="373"/>
      <c r="P4" s="5"/>
      <c r="Q4" s="284"/>
      <c r="R4" s="284"/>
      <c r="S4" s="284"/>
      <c r="T4" s="284"/>
      <c r="U4" s="284"/>
      <c r="V4" s="269"/>
      <c r="W4" s="269"/>
      <c r="X4" s="5"/>
    </row>
    <row r="5" spans="2:26" ht="20.25" customHeight="1" thickBot="1">
      <c r="B5" s="327"/>
      <c r="C5" s="328"/>
      <c r="D5" s="328"/>
      <c r="E5" s="328"/>
      <c r="F5" s="328"/>
      <c r="G5" s="30" t="s">
        <v>6</v>
      </c>
      <c r="H5" s="268" t="s">
        <v>7</v>
      </c>
      <c r="I5" s="328"/>
      <c r="J5" s="328"/>
      <c r="K5" s="328"/>
      <c r="L5" s="328"/>
      <c r="M5" s="328"/>
      <c r="N5" s="374" t="s">
        <v>6</v>
      </c>
      <c r="O5" s="421" t="s">
        <v>7</v>
      </c>
      <c r="P5" s="5"/>
      <c r="Q5" s="77"/>
      <c r="R5" s="77"/>
      <c r="S5" s="77"/>
      <c r="T5" s="5"/>
      <c r="U5" s="5"/>
      <c r="V5" s="5"/>
      <c r="W5" s="5"/>
      <c r="X5" s="5"/>
    </row>
    <row r="6" spans="2:26" s="413" customFormat="1" ht="15.75" customHeight="1" thickBot="1">
      <c r="B6" s="422" t="s">
        <v>34</v>
      </c>
      <c r="C6" s="423"/>
      <c r="D6" s="423"/>
      <c r="E6" s="143">
        <f>E7+E10+E13+E16+E19</f>
        <v>158888000</v>
      </c>
      <c r="F6" s="143">
        <f>F7+F10+F13+F16+F19</f>
        <v>157608000</v>
      </c>
      <c r="G6" s="143">
        <f>F6-E6</f>
        <v>-1280000</v>
      </c>
      <c r="H6" s="424">
        <f>F6/E6*100-100</f>
        <v>-0.80559891244146797</v>
      </c>
      <c r="I6" s="422" t="s">
        <v>34</v>
      </c>
      <c r="J6" s="423"/>
      <c r="K6" s="423"/>
      <c r="L6" s="143">
        <f>L7+L20+L24+L30+L33</f>
        <v>158888000</v>
      </c>
      <c r="M6" s="143">
        <f>M7+M20+M24+M30+M33</f>
        <v>157608000</v>
      </c>
      <c r="N6" s="143">
        <f>M6-L6</f>
        <v>-1280000</v>
      </c>
      <c r="O6" s="424">
        <f>M6/L6*100-100</f>
        <v>-0.80559891244146797</v>
      </c>
      <c r="P6" s="425">
        <f>M6-F6</f>
        <v>0</v>
      </c>
      <c r="Q6" s="425">
        <f>L6-E6</f>
        <v>0</v>
      </c>
      <c r="R6" s="427"/>
      <c r="S6" s="427"/>
      <c r="T6" s="426"/>
      <c r="U6" s="426"/>
      <c r="V6" s="426"/>
      <c r="W6" s="426"/>
      <c r="X6" s="426"/>
      <c r="Y6" s="428"/>
      <c r="Z6" s="429"/>
    </row>
    <row r="7" spans="2:26" s="413" customFormat="1" ht="16.5" customHeight="1">
      <c r="B7" s="430" t="str">
        <f>'세입 (4)'!B7</f>
        <v>사업수입</v>
      </c>
      <c r="C7" s="431" t="s">
        <v>10</v>
      </c>
      <c r="D7" s="432"/>
      <c r="E7" s="201">
        <f>E8</f>
        <v>145979240</v>
      </c>
      <c r="F7" s="201">
        <f>F8</f>
        <v>140767200</v>
      </c>
      <c r="G7" s="380">
        <f>F7-E7</f>
        <v>-5212040</v>
      </c>
      <c r="H7" s="381">
        <f>F7/E7*100-100</f>
        <v>-3.570398092221879</v>
      </c>
      <c r="I7" s="343" t="str">
        <f>'세출 (4)'!B6</f>
        <v>사무비</v>
      </c>
      <c r="J7" s="431" t="s">
        <v>10</v>
      </c>
      <c r="K7" s="434"/>
      <c r="L7" s="201">
        <f>L8+L13</f>
        <v>151138320</v>
      </c>
      <c r="M7" s="201">
        <f>M8+M13</f>
        <v>142526710</v>
      </c>
      <c r="N7" s="201">
        <f t="shared" ref="N7:N35" si="0">M7-L7</f>
        <v>-8611610</v>
      </c>
      <c r="O7" s="381">
        <f>M7/L7*100-100</f>
        <v>-5.6978336136063916</v>
      </c>
      <c r="P7" s="426"/>
      <c r="Q7" s="426"/>
      <c r="R7" s="426"/>
      <c r="S7" s="426"/>
      <c r="T7" s="426"/>
      <c r="U7" s="426"/>
      <c r="V7" s="426"/>
      <c r="W7" s="426"/>
      <c r="X7" s="426"/>
      <c r="Y7" s="428"/>
      <c r="Z7" s="429"/>
    </row>
    <row r="8" spans="2:26" s="413" customFormat="1" ht="16.5" customHeight="1">
      <c r="B8" s="435"/>
      <c r="C8" s="436" t="str">
        <f>'세입 (4)'!C7</f>
        <v>사업수입</v>
      </c>
      <c r="D8" s="270" t="s">
        <v>69</v>
      </c>
      <c r="E8" s="141">
        <f>E9</f>
        <v>145979240</v>
      </c>
      <c r="F8" s="141">
        <f>F9</f>
        <v>140767200</v>
      </c>
      <c r="G8" s="148">
        <f>F8-E8</f>
        <v>-5212040</v>
      </c>
      <c r="H8" s="387">
        <f t="shared" ref="H8:H13" si="1">F8/E8*100-100</f>
        <v>-3.570398092221879</v>
      </c>
      <c r="I8" s="294"/>
      <c r="J8" s="296" t="s">
        <v>14</v>
      </c>
      <c r="K8" s="270" t="s">
        <v>9</v>
      </c>
      <c r="L8" s="141">
        <f>SUM(L9:L12)</f>
        <v>148358320</v>
      </c>
      <c r="M8" s="141">
        <f>SUM(M9:M12)</f>
        <v>131166710</v>
      </c>
      <c r="N8" s="141">
        <f t="shared" si="0"/>
        <v>-17191610</v>
      </c>
      <c r="O8" s="390">
        <f t="shared" ref="O8" si="2">M8/L8*100-100</f>
        <v>-11.587897463384593</v>
      </c>
      <c r="P8" s="426"/>
      <c r="Q8" s="426"/>
      <c r="R8" s="426"/>
      <c r="S8" s="426"/>
      <c r="T8" s="426"/>
      <c r="U8" s="426"/>
      <c r="V8" s="426"/>
      <c r="W8" s="426"/>
      <c r="X8" s="426"/>
      <c r="Y8" s="428"/>
      <c r="Z8" s="429"/>
    </row>
    <row r="9" spans="2:26" s="413" customFormat="1" ht="16.5" customHeight="1">
      <c r="B9" s="437"/>
      <c r="C9" s="307"/>
      <c r="D9" s="270" t="str">
        <f>'세입 (4)'!D8</f>
        <v>노인돌봄사업수입</v>
      </c>
      <c r="E9" s="141">
        <f>'세입 (4)'!E8</f>
        <v>145979240</v>
      </c>
      <c r="F9" s="141">
        <f>'세입 (4)'!F8</f>
        <v>140767200</v>
      </c>
      <c r="G9" s="148">
        <f t="shared" ref="G9:G16" si="3">F9-E9</f>
        <v>-5212040</v>
      </c>
      <c r="H9" s="387">
        <f t="shared" si="1"/>
        <v>-3.570398092221879</v>
      </c>
      <c r="I9" s="294"/>
      <c r="J9" s="297"/>
      <c r="K9" s="270" t="str">
        <f>'세출 (4)'!D8</f>
        <v>급여</v>
      </c>
      <c r="L9" s="270">
        <f>'세출 (4)'!E8</f>
        <v>125367480</v>
      </c>
      <c r="M9" s="270">
        <f>'세출 (4)'!F8</f>
        <v>109227840</v>
      </c>
      <c r="N9" s="141">
        <f t="shared" si="0"/>
        <v>-16139640</v>
      </c>
      <c r="O9" s="390">
        <f>M9/L9*100-100</f>
        <v>-12.873864897021136</v>
      </c>
      <c r="P9" s="426"/>
      <c r="Q9" s="426"/>
      <c r="R9" s="426"/>
      <c r="S9" s="426"/>
      <c r="T9" s="426"/>
      <c r="U9" s="426"/>
      <c r="V9" s="426"/>
      <c r="W9" s="426"/>
      <c r="X9" s="426"/>
      <c r="Y9" s="428"/>
      <c r="Z9" s="429"/>
    </row>
    <row r="10" spans="2:26" s="413" customFormat="1" ht="16.5" customHeight="1">
      <c r="B10" s="438" t="str">
        <f>'세입 (4)'!B10</f>
        <v>이월금</v>
      </c>
      <c r="C10" s="291" t="s">
        <v>10</v>
      </c>
      <c r="D10" s="292"/>
      <c r="E10" s="140">
        <f>E11</f>
        <v>12888574</v>
      </c>
      <c r="F10" s="140">
        <f>F11</f>
        <v>16500000</v>
      </c>
      <c r="G10" s="148">
        <f>F10-E10</f>
        <v>3611426</v>
      </c>
      <c r="H10" s="387">
        <f t="shared" si="1"/>
        <v>28.020369049361079</v>
      </c>
      <c r="I10" s="294"/>
      <c r="J10" s="297"/>
      <c r="K10" s="270" t="str">
        <f>'세출 (4)'!D10</f>
        <v>퇴직금 및 퇴직적립금</v>
      </c>
      <c r="L10" s="270">
        <f>'세출 (4)'!E10</f>
        <v>10447290</v>
      </c>
      <c r="M10" s="270">
        <f>'세출 (4)'!F10</f>
        <v>9102320</v>
      </c>
      <c r="N10" s="141">
        <f t="shared" si="0"/>
        <v>-1344970</v>
      </c>
      <c r="O10" s="390">
        <f t="shared" ref="O10:O14" si="4">M10/L10*100-100</f>
        <v>-12.873864897021136</v>
      </c>
      <c r="P10" s="426"/>
      <c r="Q10" s="426"/>
      <c r="R10" s="426"/>
      <c r="S10" s="426"/>
      <c r="T10" s="426"/>
      <c r="U10" s="426"/>
      <c r="V10" s="426"/>
      <c r="W10" s="426"/>
      <c r="X10" s="426"/>
      <c r="Y10" s="428"/>
      <c r="Z10" s="429"/>
    </row>
    <row r="11" spans="2:26" s="413" customFormat="1" ht="16.5" customHeight="1">
      <c r="B11" s="304"/>
      <c r="C11" s="436" t="str">
        <f>'세입 (4)'!C10</f>
        <v>이월금</v>
      </c>
      <c r="D11" s="270" t="s">
        <v>69</v>
      </c>
      <c r="E11" s="140">
        <f>E12</f>
        <v>12888574</v>
      </c>
      <c r="F11" s="140">
        <f>F12</f>
        <v>16500000</v>
      </c>
      <c r="G11" s="148">
        <f t="shared" si="3"/>
        <v>3611426</v>
      </c>
      <c r="H11" s="387">
        <f t="shared" si="1"/>
        <v>28.020369049361079</v>
      </c>
      <c r="I11" s="294"/>
      <c r="J11" s="297"/>
      <c r="K11" s="270" t="str">
        <f>'세출 (4)'!D12</f>
        <v>사회보험부담금</v>
      </c>
      <c r="L11" s="270">
        <f>'세출 (4)'!E12</f>
        <v>11543550</v>
      </c>
      <c r="M11" s="270">
        <f>'세출 (4)'!F12</f>
        <v>10086550</v>
      </c>
      <c r="N11" s="141">
        <f t="shared" si="0"/>
        <v>-1457000</v>
      </c>
      <c r="O11" s="390">
        <f t="shared" si="4"/>
        <v>-12.621767134027223</v>
      </c>
      <c r="P11" s="426"/>
      <c r="Q11" s="439"/>
      <c r="R11" s="426"/>
      <c r="S11" s="426"/>
      <c r="T11" s="426"/>
      <c r="U11" s="426"/>
      <c r="V11" s="426"/>
      <c r="W11" s="426"/>
      <c r="X11" s="426"/>
      <c r="Y11" s="428"/>
      <c r="Z11" s="429"/>
    </row>
    <row r="12" spans="2:26" s="413" customFormat="1" ht="16.5" customHeight="1">
      <c r="B12" s="305"/>
      <c r="C12" s="440"/>
      <c r="D12" s="270" t="str">
        <f>'세입 (4)'!D11</f>
        <v>전년도 이월금</v>
      </c>
      <c r="E12" s="270">
        <f>'세입 (4)'!E11</f>
        <v>12888574</v>
      </c>
      <c r="F12" s="270">
        <f>'세입 (4)'!F11</f>
        <v>16500000</v>
      </c>
      <c r="G12" s="148">
        <f t="shared" si="3"/>
        <v>3611426</v>
      </c>
      <c r="H12" s="387">
        <f t="shared" si="1"/>
        <v>28.020369049361079</v>
      </c>
      <c r="I12" s="294"/>
      <c r="J12" s="297"/>
      <c r="K12" s="270" t="str">
        <f>'세출 (4)'!D18</f>
        <v>기타후생경비</v>
      </c>
      <c r="L12" s="270">
        <f>'세출 (4)'!E18</f>
        <v>1000000</v>
      </c>
      <c r="M12" s="270">
        <f>'세출 (4)'!F18</f>
        <v>2750000</v>
      </c>
      <c r="N12" s="141">
        <f t="shared" si="0"/>
        <v>1750000</v>
      </c>
      <c r="O12" s="390">
        <f t="shared" si="4"/>
        <v>175</v>
      </c>
      <c r="P12" s="426"/>
      <c r="Q12" s="426"/>
      <c r="R12" s="426"/>
      <c r="S12" s="426"/>
      <c r="T12" s="426"/>
      <c r="U12" s="426"/>
      <c r="V12" s="426"/>
      <c r="W12" s="426"/>
      <c r="X12" s="426"/>
      <c r="Y12" s="428"/>
      <c r="Z12" s="429"/>
    </row>
    <row r="13" spans="2:26" s="413" customFormat="1" ht="16.5" customHeight="1">
      <c r="B13" s="303" t="str">
        <f>'세입 (4)'!B12</f>
        <v>잡수입</v>
      </c>
      <c r="C13" s="291" t="s">
        <v>10</v>
      </c>
      <c r="D13" s="441"/>
      <c r="E13" s="140">
        <f>E15</f>
        <v>20186</v>
      </c>
      <c r="F13" s="140">
        <f>F15</f>
        <v>320800</v>
      </c>
      <c r="G13" s="148">
        <f t="shared" si="3"/>
        <v>300614</v>
      </c>
      <c r="H13" s="387">
        <f t="shared" si="1"/>
        <v>1489.220251659566</v>
      </c>
      <c r="I13" s="294"/>
      <c r="J13" s="296" t="str">
        <f>'세출 (4)'!C22</f>
        <v>운영비</v>
      </c>
      <c r="K13" s="270" t="s">
        <v>9</v>
      </c>
      <c r="L13" s="141">
        <f>SUM(L14:L19)</f>
        <v>2780000</v>
      </c>
      <c r="M13" s="141">
        <f>SUM(M14:M19)</f>
        <v>11360000</v>
      </c>
      <c r="N13" s="141">
        <f t="shared" si="0"/>
        <v>8580000</v>
      </c>
      <c r="O13" s="390">
        <f t="shared" si="4"/>
        <v>308.6330935251799</v>
      </c>
      <c r="P13" s="426"/>
      <c r="Q13" s="426"/>
      <c r="R13" s="426"/>
      <c r="S13" s="426"/>
      <c r="T13" s="426"/>
      <c r="U13" s="426"/>
      <c r="V13" s="426"/>
      <c r="W13" s="426"/>
      <c r="X13" s="426"/>
      <c r="Y13" s="428"/>
      <c r="Z13" s="429"/>
    </row>
    <row r="14" spans="2:26" s="413" customFormat="1" ht="16.5" customHeight="1">
      <c r="B14" s="435"/>
      <c r="C14" s="442" t="str">
        <f>'세입 (4)'!C12</f>
        <v>잡수입</v>
      </c>
      <c r="D14" s="273" t="s">
        <v>69</v>
      </c>
      <c r="E14" s="140">
        <f>E15</f>
        <v>20186</v>
      </c>
      <c r="F14" s="140">
        <f>F15</f>
        <v>320800</v>
      </c>
      <c r="G14" s="148">
        <f t="shared" si="3"/>
        <v>300614</v>
      </c>
      <c r="H14" s="387">
        <f>F14/E14*100-100</f>
        <v>1489.220251659566</v>
      </c>
      <c r="I14" s="294"/>
      <c r="J14" s="297"/>
      <c r="K14" s="270" t="str">
        <f>'세출 (4)'!D23</f>
        <v>여비</v>
      </c>
      <c r="L14" s="270">
        <f>'세출 (4)'!E23</f>
        <v>200000</v>
      </c>
      <c r="M14" s="270">
        <f>'세출 (4)'!F23</f>
        <v>400000</v>
      </c>
      <c r="N14" s="141">
        <f t="shared" si="0"/>
        <v>200000</v>
      </c>
      <c r="O14" s="390">
        <f t="shared" si="4"/>
        <v>100</v>
      </c>
      <c r="P14" s="426"/>
      <c r="Q14" s="426"/>
      <c r="R14" s="426"/>
      <c r="S14" s="426"/>
      <c r="T14" s="426"/>
      <c r="U14" s="426"/>
      <c r="V14" s="426"/>
      <c r="W14" s="426"/>
      <c r="X14" s="426"/>
      <c r="Y14" s="428"/>
      <c r="Z14" s="429"/>
    </row>
    <row r="15" spans="2:26" s="413" customFormat="1" ht="16.5" customHeight="1">
      <c r="B15" s="437"/>
      <c r="C15" s="443"/>
      <c r="D15" s="270" t="str">
        <f>'세입 (4)'!D13</f>
        <v>잡수입</v>
      </c>
      <c r="E15" s="270">
        <f>'세입 (4)'!E13</f>
        <v>20186</v>
      </c>
      <c r="F15" s="270">
        <f>'세입 (4)'!F13</f>
        <v>320800</v>
      </c>
      <c r="G15" s="148">
        <f t="shared" si="3"/>
        <v>300614</v>
      </c>
      <c r="H15" s="387">
        <f>F15/E15*100-100</f>
        <v>1489.220251659566</v>
      </c>
      <c r="I15" s="294"/>
      <c r="J15" s="297"/>
      <c r="K15" s="270" t="str">
        <f>'세출 (4)'!D24</f>
        <v>수용비및수수료</v>
      </c>
      <c r="L15" s="270">
        <f>'세출 (4)'!E24</f>
        <v>1680000</v>
      </c>
      <c r="M15" s="270">
        <f>'세출 (4)'!F24</f>
        <v>3400000</v>
      </c>
      <c r="N15" s="141">
        <f t="shared" si="0"/>
        <v>1720000</v>
      </c>
      <c r="O15" s="390">
        <f>M15/L15*100-100</f>
        <v>102.38095238095238</v>
      </c>
      <c r="P15" s="426"/>
      <c r="Q15" s="426"/>
      <c r="R15" s="426"/>
      <c r="S15" s="426"/>
      <c r="T15" s="426"/>
      <c r="U15" s="426"/>
      <c r="V15" s="426"/>
      <c r="W15" s="426"/>
      <c r="X15" s="426"/>
      <c r="Y15" s="428"/>
      <c r="Z15" s="429"/>
    </row>
    <row r="16" spans="2:26" s="413" customFormat="1" ht="16.5" customHeight="1">
      <c r="B16" s="444"/>
      <c r="C16" s="140"/>
      <c r="D16" s="523" t="str">
        <f>'세입 (4)'!D14</f>
        <v>기타예금이자수입</v>
      </c>
      <c r="E16" s="523">
        <f>'세입 (4)'!E14</f>
        <v>0</v>
      </c>
      <c r="F16" s="523">
        <f>'세입 (4)'!F14</f>
        <v>20000</v>
      </c>
      <c r="G16" s="148">
        <f t="shared" si="3"/>
        <v>20000</v>
      </c>
      <c r="H16" s="387">
        <v>0</v>
      </c>
      <c r="I16" s="294"/>
      <c r="J16" s="297"/>
      <c r="K16" s="270" t="str">
        <f>'세출 (4)'!D28</f>
        <v>공공요금</v>
      </c>
      <c r="L16" s="270">
        <f>'세출 (4)'!E28</f>
        <v>100000</v>
      </c>
      <c r="M16" s="270">
        <f>'세출 (4)'!F28</f>
        <v>1500000</v>
      </c>
      <c r="N16" s="141">
        <f t="shared" si="0"/>
        <v>1400000</v>
      </c>
      <c r="O16" s="150">
        <f>M16/L16*100-100</f>
        <v>1400</v>
      </c>
      <c r="P16" s="426"/>
      <c r="Q16" s="426"/>
      <c r="R16" s="426"/>
      <c r="S16" s="426"/>
      <c r="T16" s="426"/>
      <c r="U16" s="426"/>
      <c r="V16" s="426"/>
      <c r="W16" s="426"/>
      <c r="X16" s="426"/>
      <c r="Y16" s="428"/>
      <c r="Z16" s="429"/>
    </row>
    <row r="17" spans="2:26" s="428" customFormat="1" ht="16.5" customHeight="1">
      <c r="B17" s="444"/>
      <c r="C17" s="140"/>
      <c r="D17" s="273"/>
      <c r="E17" s="141"/>
      <c r="F17" s="141"/>
      <c r="G17" s="148"/>
      <c r="H17" s="387"/>
      <c r="I17" s="294"/>
      <c r="J17" s="297"/>
      <c r="K17" s="270" t="str">
        <f>'세출 (4)'!D32</f>
        <v>제세공과금</v>
      </c>
      <c r="L17" s="270">
        <f>'세출 (4)'!E32</f>
        <v>800000</v>
      </c>
      <c r="M17" s="270">
        <f>'세출 (4)'!F32</f>
        <v>1300000</v>
      </c>
      <c r="N17" s="141">
        <f t="shared" si="0"/>
        <v>500000</v>
      </c>
      <c r="O17" s="390">
        <f>M17/L17*100-100</f>
        <v>62.5</v>
      </c>
      <c r="P17" s="426"/>
      <c r="Q17" s="426"/>
      <c r="R17" s="426"/>
      <c r="S17" s="426"/>
      <c r="T17" s="426"/>
      <c r="U17" s="426"/>
      <c r="V17" s="426"/>
      <c r="W17" s="426"/>
      <c r="X17" s="426"/>
      <c r="Z17" s="429"/>
    </row>
    <row r="18" spans="2:26" s="428" customFormat="1" ht="16.5" customHeight="1">
      <c r="B18" s="444"/>
      <c r="C18" s="140"/>
      <c r="D18" s="273"/>
      <c r="E18" s="270"/>
      <c r="F18" s="270"/>
      <c r="G18" s="148"/>
      <c r="H18" s="387"/>
      <c r="I18" s="294"/>
      <c r="J18" s="297"/>
      <c r="K18" s="270" t="str">
        <f>'세출 (4)'!D36</f>
        <v>차량비</v>
      </c>
      <c r="L18" s="270">
        <f>'세출 (4)'!E36</f>
        <v>0</v>
      </c>
      <c r="M18" s="270">
        <f>'세출 (4)'!F36</f>
        <v>360000</v>
      </c>
      <c r="N18" s="141">
        <f t="shared" si="0"/>
        <v>360000</v>
      </c>
      <c r="O18" s="390">
        <v>0</v>
      </c>
      <c r="P18" s="426"/>
      <c r="Q18" s="426"/>
      <c r="R18" s="426"/>
      <c r="S18" s="426"/>
      <c r="T18" s="426"/>
      <c r="U18" s="426"/>
      <c r="V18" s="426"/>
      <c r="W18" s="426"/>
      <c r="X18" s="426"/>
      <c r="Z18" s="429"/>
    </row>
    <row r="19" spans="2:26" s="428" customFormat="1" ht="16.5" customHeight="1">
      <c r="B19" s="444"/>
      <c r="C19" s="140"/>
      <c r="D19" s="523"/>
      <c r="E19" s="523"/>
      <c r="F19" s="141"/>
      <c r="G19" s="148"/>
      <c r="H19" s="387"/>
      <c r="I19" s="295"/>
      <c r="J19" s="298"/>
      <c r="K19" s="274" t="str">
        <f>'세출 (4)'!D38</f>
        <v>기타운영비</v>
      </c>
      <c r="L19" s="270">
        <f>'세출 (4)'!E38</f>
        <v>0</v>
      </c>
      <c r="M19" s="270">
        <f>'세출 (4)'!F38</f>
        <v>4400000</v>
      </c>
      <c r="N19" s="141">
        <f t="shared" si="0"/>
        <v>4400000</v>
      </c>
      <c r="O19" s="390">
        <v>0</v>
      </c>
      <c r="P19" s="426"/>
      <c r="Q19" s="426"/>
      <c r="R19" s="426"/>
      <c r="S19" s="426"/>
      <c r="T19" s="426"/>
      <c r="U19" s="426"/>
      <c r="V19" s="426"/>
      <c r="W19" s="426"/>
      <c r="X19" s="426"/>
      <c r="Z19" s="429"/>
    </row>
    <row r="20" spans="2:26" s="428" customFormat="1" ht="16.5" customHeight="1">
      <c r="B20" s="271"/>
      <c r="C20" s="270"/>
      <c r="D20" s="270"/>
      <c r="E20" s="141"/>
      <c r="F20" s="141"/>
      <c r="G20" s="148"/>
      <c r="H20" s="387"/>
      <c r="I20" s="293" t="str">
        <f>'세출 (4)'!B41</f>
        <v>재산조성비</v>
      </c>
      <c r="J20" s="524" t="s">
        <v>477</v>
      </c>
      <c r="K20" s="525"/>
      <c r="L20" s="141">
        <f>L21</f>
        <v>1500000</v>
      </c>
      <c r="M20" s="141">
        <f>M21</f>
        <v>3000000</v>
      </c>
      <c r="N20" s="141">
        <f t="shared" si="0"/>
        <v>1500000</v>
      </c>
      <c r="O20" s="390">
        <f>M20/L20*100-100</f>
        <v>100</v>
      </c>
      <c r="P20" s="426"/>
      <c r="Q20" s="426"/>
      <c r="R20" s="426"/>
      <c r="S20" s="426"/>
      <c r="T20" s="426"/>
      <c r="U20" s="426"/>
      <c r="V20" s="426"/>
      <c r="W20" s="426"/>
      <c r="X20" s="426"/>
      <c r="Z20" s="429"/>
    </row>
    <row r="21" spans="2:26" s="428" customFormat="1" ht="16.5" customHeight="1">
      <c r="B21" s="271"/>
      <c r="C21" s="270"/>
      <c r="D21" s="270"/>
      <c r="E21" s="270"/>
      <c r="F21" s="270"/>
      <c r="G21" s="141"/>
      <c r="H21" s="390"/>
      <c r="I21" s="294"/>
      <c r="J21" s="526" t="str">
        <f>'세출 (4)'!C42</f>
        <v>시설비</v>
      </c>
      <c r="K21" s="274" t="s">
        <v>9</v>
      </c>
      <c r="L21" s="527">
        <f>SUM(L22:L23)</f>
        <v>1500000</v>
      </c>
      <c r="M21" s="527">
        <f>SUM(M22:M23)</f>
        <v>3000000</v>
      </c>
      <c r="N21" s="141">
        <f t="shared" si="0"/>
        <v>1500000</v>
      </c>
      <c r="O21" s="390">
        <f t="shared" ref="O21:O32" si="5">M21/L21*100-100</f>
        <v>100</v>
      </c>
      <c r="P21" s="426"/>
      <c r="Q21" s="426"/>
      <c r="R21" s="426"/>
      <c r="S21" s="426"/>
      <c r="T21" s="426"/>
      <c r="U21" s="426"/>
      <c r="V21" s="426"/>
      <c r="W21" s="426"/>
      <c r="X21" s="426"/>
      <c r="Z21" s="429"/>
    </row>
    <row r="22" spans="2:26" s="428" customFormat="1" ht="16.5" customHeight="1">
      <c r="B22" s="271"/>
      <c r="C22" s="270"/>
      <c r="D22" s="270"/>
      <c r="E22" s="270"/>
      <c r="F22" s="270"/>
      <c r="G22" s="148"/>
      <c r="H22" s="387"/>
      <c r="I22" s="294"/>
      <c r="J22" s="528"/>
      <c r="K22" s="270" t="str">
        <f>'세출 (4)'!D43</f>
        <v>자산취득비</v>
      </c>
      <c r="L22" s="141">
        <f>'세출 (4)'!E43</f>
        <v>1000000</v>
      </c>
      <c r="M22" s="141">
        <f>'세출 (4)'!F43</f>
        <v>2000000</v>
      </c>
      <c r="N22" s="141">
        <f t="shared" si="0"/>
        <v>1000000</v>
      </c>
      <c r="O22" s="390">
        <f t="shared" si="5"/>
        <v>100</v>
      </c>
      <c r="P22" s="426"/>
      <c r="Q22" s="426"/>
      <c r="R22" s="426"/>
      <c r="S22" s="426"/>
      <c r="T22" s="426"/>
      <c r="U22" s="426"/>
      <c r="V22" s="426"/>
      <c r="W22" s="426"/>
      <c r="X22" s="426"/>
      <c r="Z22" s="429"/>
    </row>
    <row r="23" spans="2:26" s="428" customFormat="1" ht="16.5" customHeight="1">
      <c r="B23" s="271"/>
      <c r="C23" s="270"/>
      <c r="D23" s="270"/>
      <c r="E23" s="141"/>
      <c r="F23" s="141"/>
      <c r="G23" s="148"/>
      <c r="H23" s="387"/>
      <c r="I23" s="295"/>
      <c r="J23" s="529"/>
      <c r="K23" s="270" t="str">
        <f>'세출 (4)'!D44</f>
        <v>시설장비유지비</v>
      </c>
      <c r="L23" s="141">
        <f>'세출 (4)'!E44</f>
        <v>500000</v>
      </c>
      <c r="M23" s="141">
        <f>'세출 (4)'!F44</f>
        <v>1000000</v>
      </c>
      <c r="N23" s="141">
        <f t="shared" si="0"/>
        <v>500000</v>
      </c>
      <c r="O23" s="390">
        <f t="shared" si="5"/>
        <v>100</v>
      </c>
      <c r="P23" s="426"/>
      <c r="Q23" s="426"/>
      <c r="R23" s="426"/>
      <c r="S23" s="426"/>
      <c r="T23" s="426"/>
      <c r="U23" s="426"/>
      <c r="V23" s="426"/>
      <c r="W23" s="426"/>
      <c r="X23" s="426"/>
      <c r="Z23" s="429"/>
    </row>
    <row r="24" spans="2:26" s="428" customFormat="1" ht="16.5" customHeight="1">
      <c r="B24" s="444"/>
      <c r="C24" s="140"/>
      <c r="D24" s="141"/>
      <c r="E24" s="141"/>
      <c r="F24" s="141"/>
      <c r="G24" s="148"/>
      <c r="H24" s="387"/>
      <c r="I24" s="293" t="str">
        <f>'세출 (4)'!B45</f>
        <v>사업비</v>
      </c>
      <c r="J24" s="290" t="s">
        <v>10</v>
      </c>
      <c r="K24" s="290"/>
      <c r="L24" s="141">
        <f>L25</f>
        <v>5950000</v>
      </c>
      <c r="M24" s="141">
        <f>M25</f>
        <v>11475000</v>
      </c>
      <c r="N24" s="141">
        <f t="shared" si="0"/>
        <v>5525000</v>
      </c>
      <c r="O24" s="390">
        <f t="shared" si="5"/>
        <v>92.857142857142861</v>
      </c>
      <c r="P24" s="426"/>
      <c r="Q24" s="426"/>
      <c r="R24" s="426"/>
      <c r="S24" s="426"/>
      <c r="T24" s="426"/>
      <c r="U24" s="426"/>
      <c r="V24" s="426"/>
      <c r="W24" s="426"/>
      <c r="X24" s="426"/>
      <c r="Z24" s="429"/>
    </row>
    <row r="25" spans="2:26" s="428" customFormat="1" ht="16.5" customHeight="1">
      <c r="B25" s="444"/>
      <c r="C25" s="140"/>
      <c r="D25" s="270"/>
      <c r="E25" s="141"/>
      <c r="F25" s="141"/>
      <c r="G25" s="148"/>
      <c r="H25" s="387"/>
      <c r="I25" s="294"/>
      <c r="J25" s="296" t="str">
        <f>'세출 (4)'!C46</f>
        <v>사업비</v>
      </c>
      <c r="K25" s="270" t="s">
        <v>9</v>
      </c>
      <c r="L25" s="141">
        <f>SUM(L26:L29)</f>
        <v>5950000</v>
      </c>
      <c r="M25" s="141">
        <f>SUM(M26:M29)</f>
        <v>11475000</v>
      </c>
      <c r="N25" s="141">
        <f t="shared" si="0"/>
        <v>5525000</v>
      </c>
      <c r="O25" s="390">
        <f t="shared" si="5"/>
        <v>92.857142857142861</v>
      </c>
      <c r="P25" s="426"/>
      <c r="Q25" s="426"/>
      <c r="R25" s="426"/>
      <c r="S25" s="426"/>
      <c r="T25" s="426"/>
      <c r="U25" s="426"/>
      <c r="V25" s="426"/>
      <c r="W25" s="426"/>
      <c r="X25" s="426"/>
      <c r="Z25" s="429"/>
    </row>
    <row r="26" spans="2:26" s="428" customFormat="1" ht="16.5" customHeight="1">
      <c r="B26" s="444"/>
      <c r="C26" s="140"/>
      <c r="D26" s="270"/>
      <c r="E26" s="141"/>
      <c r="F26" s="141"/>
      <c r="G26" s="148"/>
      <c r="H26" s="149"/>
      <c r="I26" s="294"/>
      <c r="J26" s="297"/>
      <c r="K26" s="270" t="str">
        <f>'세출 (4)'!D47</f>
        <v>사업비</v>
      </c>
      <c r="L26" s="141">
        <f>'세출 (4)'!E47</f>
        <v>5950000</v>
      </c>
      <c r="M26" s="141">
        <f>'세출 (4)'!F47</f>
        <v>0</v>
      </c>
      <c r="N26" s="141">
        <f t="shared" si="0"/>
        <v>-5950000</v>
      </c>
      <c r="O26" s="390">
        <f t="shared" si="5"/>
        <v>-100</v>
      </c>
      <c r="P26" s="426"/>
      <c r="Q26" s="426"/>
      <c r="R26" s="426"/>
      <c r="S26" s="426"/>
      <c r="T26" s="426"/>
      <c r="U26" s="426"/>
      <c r="V26" s="426"/>
      <c r="W26" s="426"/>
      <c r="X26" s="426"/>
      <c r="Z26" s="429"/>
    </row>
    <row r="27" spans="2:26" s="428" customFormat="1" ht="16.5" customHeight="1">
      <c r="B27" s="444"/>
      <c r="C27" s="140"/>
      <c r="D27" s="270"/>
      <c r="E27" s="141"/>
      <c r="F27" s="141"/>
      <c r="G27" s="148"/>
      <c r="H27" s="149"/>
      <c r="I27" s="294"/>
      <c r="J27" s="297"/>
      <c r="K27" s="270" t="str">
        <f>'세출 (4)'!D48</f>
        <v>대상자관리사업</v>
      </c>
      <c r="L27" s="141">
        <f>'세출 (4)'!E48</f>
        <v>0</v>
      </c>
      <c r="M27" s="141">
        <f>'세출 (4)'!F48</f>
        <v>4055000</v>
      </c>
      <c r="N27" s="141">
        <f t="shared" si="0"/>
        <v>4055000</v>
      </c>
      <c r="O27" s="390">
        <v>0</v>
      </c>
      <c r="P27" s="426"/>
      <c r="Q27" s="426"/>
      <c r="R27" s="426"/>
      <c r="S27" s="426"/>
      <c r="T27" s="426"/>
      <c r="U27" s="426"/>
      <c r="V27" s="426"/>
      <c r="W27" s="426"/>
      <c r="X27" s="426"/>
      <c r="Z27" s="429"/>
    </row>
    <row r="28" spans="2:26" s="428" customFormat="1" ht="16.5" customHeight="1">
      <c r="B28" s="444"/>
      <c r="C28" s="140"/>
      <c r="D28" s="140"/>
      <c r="E28" s="141"/>
      <c r="F28" s="141"/>
      <c r="G28" s="148"/>
      <c r="H28" s="149"/>
      <c r="I28" s="294"/>
      <c r="J28" s="297"/>
      <c r="K28" s="270" t="str">
        <f>'세출 (4)'!D55</f>
        <v>돌보미관리사업</v>
      </c>
      <c r="L28" s="270">
        <f>'세출 (4)'!E55</f>
        <v>0</v>
      </c>
      <c r="M28" s="270">
        <f>'세출 (4)'!F55</f>
        <v>5220000</v>
      </c>
      <c r="N28" s="141">
        <f t="shared" si="0"/>
        <v>5220000</v>
      </c>
      <c r="O28" s="390">
        <v>0</v>
      </c>
      <c r="P28" s="426"/>
      <c r="Q28" s="426"/>
      <c r="R28" s="426"/>
      <c r="S28" s="426"/>
      <c r="T28" s="426"/>
      <c r="U28" s="426"/>
      <c r="V28" s="426"/>
      <c r="W28" s="426"/>
      <c r="X28" s="426"/>
      <c r="Z28" s="429"/>
    </row>
    <row r="29" spans="2:26" s="428" customFormat="1" ht="16.5" customHeight="1">
      <c r="B29" s="444"/>
      <c r="C29" s="140"/>
      <c r="D29" s="270"/>
      <c r="E29" s="141"/>
      <c r="F29" s="141"/>
      <c r="G29" s="148"/>
      <c r="H29" s="149"/>
      <c r="I29" s="295"/>
      <c r="J29" s="298"/>
      <c r="K29" s="270" t="str">
        <f>'세출 (4)'!D61</f>
        <v>기타사업비</v>
      </c>
      <c r="L29" s="270">
        <f>'세출 (4)'!E61</f>
        <v>0</v>
      </c>
      <c r="M29" s="270">
        <f>'세출 (4)'!F61</f>
        <v>2200000</v>
      </c>
      <c r="N29" s="141">
        <f t="shared" si="0"/>
        <v>2200000</v>
      </c>
      <c r="O29" s="390">
        <v>0</v>
      </c>
      <c r="P29" s="426"/>
      <c r="Q29" s="426"/>
      <c r="R29" s="426"/>
      <c r="S29" s="426"/>
      <c r="T29" s="426"/>
      <c r="U29" s="426"/>
      <c r="V29" s="426"/>
      <c r="W29" s="426"/>
      <c r="X29" s="426"/>
      <c r="Z29" s="429"/>
    </row>
    <row r="30" spans="2:26" s="428" customFormat="1" ht="16.5" customHeight="1">
      <c r="B30" s="271"/>
      <c r="C30" s="270"/>
      <c r="D30" s="270"/>
      <c r="E30" s="151"/>
      <c r="F30" s="141"/>
      <c r="G30" s="152"/>
      <c r="H30" s="153"/>
      <c r="I30" s="293" t="str">
        <f>'세출 (4)'!B65</f>
        <v>예비비</v>
      </c>
      <c r="J30" s="290" t="s">
        <v>10</v>
      </c>
      <c r="K30" s="290"/>
      <c r="L30" s="270">
        <f>L31</f>
        <v>299680</v>
      </c>
      <c r="M30" s="141">
        <f>M31</f>
        <v>300000</v>
      </c>
      <c r="N30" s="141">
        <f t="shared" si="0"/>
        <v>320</v>
      </c>
      <c r="O30" s="390">
        <f t="shared" si="5"/>
        <v>0.10678056593700092</v>
      </c>
      <c r="P30" s="426"/>
      <c r="Q30" s="426"/>
      <c r="R30" s="426"/>
      <c r="S30" s="426"/>
      <c r="T30" s="426"/>
      <c r="U30" s="426"/>
      <c r="V30" s="426"/>
      <c r="W30" s="426"/>
      <c r="X30" s="426"/>
      <c r="Z30" s="429"/>
    </row>
    <row r="31" spans="2:26" s="428" customFormat="1" ht="16.5" customHeight="1">
      <c r="B31" s="271"/>
      <c r="C31" s="270"/>
      <c r="D31" s="270"/>
      <c r="E31" s="151"/>
      <c r="F31" s="141"/>
      <c r="G31" s="152"/>
      <c r="H31" s="153"/>
      <c r="I31" s="294"/>
      <c r="J31" s="526" t="str">
        <f>'세출 (4)'!C66</f>
        <v>예비비</v>
      </c>
      <c r="K31" s="270" t="s">
        <v>9</v>
      </c>
      <c r="L31" s="270">
        <f>L32</f>
        <v>299680</v>
      </c>
      <c r="M31" s="141">
        <f>M32</f>
        <v>300000</v>
      </c>
      <c r="N31" s="141">
        <f t="shared" si="0"/>
        <v>320</v>
      </c>
      <c r="O31" s="390">
        <f t="shared" si="5"/>
        <v>0.10678056593700092</v>
      </c>
      <c r="P31" s="426"/>
      <c r="Q31" s="446"/>
      <c r="R31" s="446"/>
      <c r="S31" s="446"/>
      <c r="T31" s="447"/>
      <c r="U31" s="447"/>
      <c r="V31" s="447"/>
      <c r="W31" s="448"/>
      <c r="X31" s="426"/>
      <c r="Z31" s="429"/>
    </row>
    <row r="32" spans="2:26" s="428" customFormat="1" ht="16.5" customHeight="1">
      <c r="B32" s="271"/>
      <c r="C32" s="270"/>
      <c r="D32" s="270"/>
      <c r="E32" s="151"/>
      <c r="F32" s="141"/>
      <c r="G32" s="152"/>
      <c r="H32" s="153"/>
      <c r="I32" s="295"/>
      <c r="J32" s="529"/>
      <c r="K32" s="270" t="str">
        <f>'세출 (4)'!D67</f>
        <v>예비비</v>
      </c>
      <c r="L32" s="270">
        <f>'세출 (4)'!E67</f>
        <v>299680</v>
      </c>
      <c r="M32" s="270">
        <f>'세출 (4)'!F67</f>
        <v>300000</v>
      </c>
      <c r="N32" s="141">
        <f t="shared" si="0"/>
        <v>320</v>
      </c>
      <c r="O32" s="390">
        <f t="shared" si="5"/>
        <v>0.10678056593700092</v>
      </c>
      <c r="P32" s="426"/>
      <c r="Q32" s="446"/>
      <c r="R32" s="446"/>
      <c r="S32" s="446"/>
      <c r="T32" s="447"/>
      <c r="U32" s="447"/>
      <c r="V32" s="447"/>
      <c r="W32" s="448"/>
      <c r="X32" s="426"/>
      <c r="Z32" s="429"/>
    </row>
    <row r="33" spans="2:26" s="428" customFormat="1" ht="16.5" customHeight="1">
      <c r="B33" s="271"/>
      <c r="C33" s="270"/>
      <c r="D33" s="270"/>
      <c r="E33" s="151"/>
      <c r="F33" s="141"/>
      <c r="G33" s="152"/>
      <c r="H33" s="153"/>
      <c r="I33" s="293" t="str">
        <f>'세출 (4)'!B68</f>
        <v>잡지출</v>
      </c>
      <c r="J33" s="290" t="s">
        <v>10</v>
      </c>
      <c r="K33" s="290"/>
      <c r="L33" s="270">
        <f>L34</f>
        <v>0</v>
      </c>
      <c r="M33" s="141">
        <f>M34</f>
        <v>306290</v>
      </c>
      <c r="N33" s="141">
        <f t="shared" si="0"/>
        <v>306290</v>
      </c>
      <c r="O33" s="390">
        <v>0</v>
      </c>
      <c r="P33" s="426"/>
      <c r="Q33" s="446"/>
      <c r="R33" s="446"/>
      <c r="S33" s="446"/>
      <c r="T33" s="447"/>
      <c r="U33" s="447"/>
      <c r="V33" s="447"/>
      <c r="W33" s="448"/>
      <c r="X33" s="426"/>
      <c r="Z33" s="429"/>
    </row>
    <row r="34" spans="2:26" s="428" customFormat="1" ht="16.5" customHeight="1">
      <c r="B34" s="271"/>
      <c r="C34" s="270"/>
      <c r="D34" s="270"/>
      <c r="E34" s="151"/>
      <c r="F34" s="141"/>
      <c r="G34" s="152"/>
      <c r="H34" s="153"/>
      <c r="I34" s="294"/>
      <c r="J34" s="526" t="str">
        <f>'세출 (4)'!C69</f>
        <v>잡지출</v>
      </c>
      <c r="K34" s="270" t="s">
        <v>9</v>
      </c>
      <c r="L34" s="270">
        <f>노인돌봄사업!L35</f>
        <v>0</v>
      </c>
      <c r="M34" s="270">
        <f>노인돌봄사업!M35</f>
        <v>306290</v>
      </c>
      <c r="N34" s="141">
        <f t="shared" si="0"/>
        <v>306290</v>
      </c>
      <c r="O34" s="390">
        <v>0</v>
      </c>
      <c r="P34" s="426"/>
      <c r="Q34" s="446"/>
      <c r="R34" s="446"/>
      <c r="S34" s="446"/>
      <c r="T34" s="447"/>
      <c r="U34" s="447"/>
      <c r="V34" s="447"/>
      <c r="W34" s="448"/>
      <c r="X34" s="426"/>
      <c r="Z34" s="429"/>
    </row>
    <row r="35" spans="2:26" s="428" customFormat="1" ht="16.5" customHeight="1" thickBot="1">
      <c r="B35" s="451"/>
      <c r="C35" s="180"/>
      <c r="D35" s="180"/>
      <c r="E35" s="175"/>
      <c r="F35" s="156"/>
      <c r="G35" s="452"/>
      <c r="H35" s="453"/>
      <c r="I35" s="301"/>
      <c r="J35" s="530"/>
      <c r="K35" s="180" t="str">
        <f>'세출 (4)'!D70</f>
        <v>잡지출</v>
      </c>
      <c r="L35" s="180">
        <f>'세출 (4)'!E70</f>
        <v>0</v>
      </c>
      <c r="M35" s="180">
        <f>'세출 (4)'!F70</f>
        <v>306290</v>
      </c>
      <c r="N35" s="156">
        <f t="shared" si="0"/>
        <v>306290</v>
      </c>
      <c r="O35" s="411">
        <v>0</v>
      </c>
      <c r="P35" s="426"/>
      <c r="Q35" s="446"/>
      <c r="R35" s="446"/>
      <c r="S35" s="446"/>
      <c r="T35" s="447"/>
      <c r="U35" s="447"/>
      <c r="V35" s="447"/>
      <c r="W35" s="448"/>
      <c r="X35" s="426"/>
      <c r="Z35" s="429"/>
    </row>
    <row r="36" spans="2:26" ht="17.100000000000001" customHeight="1">
      <c r="F36" s="4"/>
      <c r="G36" s="11"/>
      <c r="P36" s="283"/>
      <c r="Y36" s="4"/>
      <c r="Z36" s="4"/>
    </row>
    <row r="37" spans="2:26" ht="17.100000000000001" customHeight="1">
      <c r="F37" s="4"/>
      <c r="G37" s="11"/>
      <c r="P37" s="283"/>
      <c r="Y37" s="4"/>
      <c r="Z37" s="4"/>
    </row>
    <row r="38" spans="2:26" ht="17.100000000000001" customHeight="1">
      <c r="F38" s="4"/>
      <c r="G38" s="11"/>
      <c r="P38" s="283"/>
      <c r="Y38" s="4"/>
      <c r="Z38" s="4"/>
    </row>
    <row r="39" spans="2:26" ht="17.100000000000001" customHeight="1">
      <c r="F39" s="4"/>
      <c r="G39" s="11"/>
      <c r="P39" s="283"/>
      <c r="Y39" s="4"/>
      <c r="Z39" s="4"/>
    </row>
    <row r="40" spans="2:26" ht="17.100000000000001" customHeight="1">
      <c r="F40" s="4"/>
      <c r="G40" s="11"/>
      <c r="P40" s="283"/>
      <c r="Y40" s="4"/>
      <c r="Z40" s="4"/>
    </row>
    <row r="41" spans="2:26" ht="17.100000000000001" customHeight="1">
      <c r="F41" s="4"/>
      <c r="G41" s="11"/>
      <c r="P41" s="283"/>
      <c r="Y41" s="4"/>
      <c r="Z41" s="4"/>
    </row>
    <row r="42" spans="2:26" ht="17.100000000000001" customHeight="1">
      <c r="F42" s="4"/>
      <c r="G42" s="11"/>
      <c r="P42" s="283"/>
      <c r="Y42" s="4"/>
      <c r="Z42" s="4"/>
    </row>
    <row r="43" spans="2:26" ht="17.100000000000001" customHeight="1">
      <c r="F43" s="4"/>
      <c r="G43" s="11"/>
      <c r="P43" s="283"/>
      <c r="Y43" s="4"/>
      <c r="Z43" s="4"/>
    </row>
    <row r="44" spans="2:26" ht="17.100000000000001" customHeight="1">
      <c r="F44" s="4"/>
      <c r="G44" s="11"/>
      <c r="P44" s="283"/>
      <c r="Y44" s="4"/>
      <c r="Z44" s="4"/>
    </row>
    <row r="45" spans="2:26" ht="17.100000000000001" customHeight="1">
      <c r="F45" s="4"/>
      <c r="G45" s="11"/>
      <c r="P45" s="283"/>
      <c r="Y45" s="4"/>
      <c r="Z45" s="4"/>
    </row>
    <row r="46" spans="2:26" ht="17.100000000000001" customHeight="1">
      <c r="F46" s="4"/>
      <c r="G46" s="11"/>
      <c r="P46" s="283"/>
      <c r="Y46" s="4"/>
      <c r="Z46" s="4"/>
    </row>
    <row r="47" spans="2:26" ht="17.100000000000001" customHeight="1">
      <c r="F47" s="4"/>
      <c r="G47" s="11"/>
      <c r="P47" s="283"/>
      <c r="Y47" s="4"/>
      <c r="Z47" s="4"/>
    </row>
    <row r="48" spans="2:26" ht="17.100000000000001" customHeight="1">
      <c r="F48" s="4"/>
      <c r="G48" s="11"/>
      <c r="P48" s="283"/>
      <c r="Y48" s="4"/>
      <c r="Z48" s="4"/>
    </row>
    <row r="49" spans="6:26" ht="17.100000000000001" customHeight="1">
      <c r="F49" s="4"/>
      <c r="G49" s="11"/>
      <c r="P49" s="283"/>
      <c r="Y49" s="4"/>
      <c r="Z49" s="4"/>
    </row>
    <row r="50" spans="6:26" ht="17.100000000000001" customHeight="1">
      <c r="F50" s="4"/>
      <c r="G50" s="11"/>
      <c r="P50" s="283"/>
      <c r="Y50" s="4"/>
      <c r="Z50" s="4"/>
    </row>
    <row r="51" spans="6:26" ht="17.100000000000001" customHeight="1">
      <c r="F51" s="4"/>
      <c r="G51" s="11"/>
      <c r="P51" s="283"/>
      <c r="Y51" s="4"/>
      <c r="Z51" s="4"/>
    </row>
    <row r="52" spans="6:26" ht="17.100000000000001" customHeight="1">
      <c r="F52" s="4"/>
      <c r="G52" s="11"/>
      <c r="P52" s="283"/>
      <c r="Y52" s="4"/>
      <c r="Z52" s="4"/>
    </row>
    <row r="53" spans="6:26" ht="17.100000000000001" customHeight="1">
      <c r="F53" s="4"/>
      <c r="G53" s="11"/>
      <c r="P53" s="283"/>
      <c r="Y53" s="4"/>
      <c r="Z53" s="4"/>
    </row>
    <row r="54" spans="6:26" ht="17.100000000000001" customHeight="1">
      <c r="F54" s="4"/>
      <c r="G54" s="11"/>
      <c r="P54" s="283"/>
      <c r="Y54" s="4"/>
      <c r="Z54" s="4"/>
    </row>
    <row r="55" spans="6:26" ht="17.100000000000001" customHeight="1">
      <c r="F55" s="4"/>
      <c r="G55" s="11"/>
      <c r="P55" s="283"/>
      <c r="Y55" s="4"/>
      <c r="Z55" s="4"/>
    </row>
    <row r="56" spans="6:26" ht="17.100000000000001" customHeight="1">
      <c r="F56" s="4"/>
      <c r="G56" s="11"/>
      <c r="P56" s="283"/>
      <c r="Y56" s="4"/>
      <c r="Z56" s="4"/>
    </row>
    <row r="57" spans="6:26" ht="17.100000000000001" customHeight="1">
      <c r="F57" s="4"/>
      <c r="G57" s="11"/>
      <c r="P57" s="283"/>
      <c r="Y57" s="4"/>
      <c r="Z57" s="4"/>
    </row>
    <row r="58" spans="6:26" ht="17.100000000000001" customHeight="1">
      <c r="F58" s="4"/>
      <c r="G58" s="11"/>
      <c r="P58" s="283"/>
      <c r="Y58" s="4"/>
      <c r="Z58" s="4"/>
    </row>
    <row r="59" spans="6:26" ht="17.100000000000001" customHeight="1">
      <c r="F59" s="4"/>
      <c r="G59" s="11"/>
      <c r="P59" s="283"/>
      <c r="Y59" s="4"/>
      <c r="Z59" s="4"/>
    </row>
    <row r="60" spans="6:26" ht="17.100000000000001" customHeight="1">
      <c r="F60" s="4"/>
      <c r="G60" s="11"/>
      <c r="P60" s="283"/>
      <c r="Y60" s="4"/>
      <c r="Z60" s="4"/>
    </row>
    <row r="61" spans="6:26" ht="17.100000000000001" customHeight="1">
      <c r="F61" s="4"/>
      <c r="G61" s="11"/>
      <c r="P61" s="283"/>
      <c r="Y61" s="4"/>
      <c r="Z61" s="4"/>
    </row>
    <row r="62" spans="6:26" ht="17.100000000000001" customHeight="1">
      <c r="F62" s="4"/>
      <c r="G62" s="11"/>
      <c r="P62" s="283"/>
      <c r="Y62" s="4"/>
      <c r="Z62" s="4"/>
    </row>
    <row r="63" spans="6:26" ht="17.100000000000001" customHeight="1">
      <c r="F63" s="4"/>
      <c r="G63" s="11"/>
      <c r="P63" s="283"/>
      <c r="Y63" s="4"/>
      <c r="Z63" s="4"/>
    </row>
    <row r="64" spans="6:26">
      <c r="F64" s="4"/>
      <c r="G64" s="11"/>
      <c r="P64" s="283"/>
      <c r="Y64" s="4"/>
      <c r="Z64" s="4"/>
    </row>
    <row r="65" spans="6:26">
      <c r="F65" s="4"/>
      <c r="G65" s="11"/>
      <c r="P65" s="283"/>
      <c r="Y65" s="4"/>
      <c r="Z65" s="4"/>
    </row>
    <row r="66" spans="6:26">
      <c r="F66" s="4"/>
      <c r="G66" s="11"/>
      <c r="P66" s="283"/>
      <c r="Y66" s="4"/>
      <c r="Z66" s="4"/>
    </row>
    <row r="67" spans="6:26">
      <c r="F67" s="4"/>
      <c r="G67" s="11"/>
      <c r="P67" s="283"/>
      <c r="Y67" s="4"/>
      <c r="Z67" s="4"/>
    </row>
    <row r="68" spans="6:26">
      <c r="F68" s="4"/>
      <c r="G68" s="11"/>
      <c r="P68" s="283"/>
      <c r="Y68" s="4"/>
      <c r="Z68" s="4"/>
    </row>
    <row r="69" spans="6:26">
      <c r="F69" s="4"/>
      <c r="G69" s="11"/>
      <c r="P69" s="283"/>
      <c r="Y69" s="4"/>
      <c r="Z69" s="4"/>
    </row>
    <row r="70" spans="6:26">
      <c r="F70" s="4"/>
      <c r="G70" s="11"/>
      <c r="P70" s="283"/>
      <c r="Y70" s="4"/>
      <c r="Z70" s="4"/>
    </row>
    <row r="71" spans="6:26" ht="17.100000000000001" customHeight="1">
      <c r="F71" s="4"/>
      <c r="G71" s="11"/>
      <c r="P71" s="283"/>
      <c r="Y71" s="4"/>
      <c r="Z71" s="4"/>
    </row>
    <row r="72" spans="6:26" ht="17.100000000000001" customHeight="1">
      <c r="F72" s="4"/>
      <c r="G72" s="11"/>
      <c r="P72" s="283"/>
      <c r="Y72" s="4"/>
      <c r="Z72" s="4"/>
    </row>
    <row r="73" spans="6:26" ht="17.100000000000001" customHeight="1">
      <c r="F73" s="4"/>
      <c r="G73" s="11"/>
      <c r="P73" s="283"/>
      <c r="Y73" s="4"/>
      <c r="Z73" s="4"/>
    </row>
    <row r="74" spans="6:26" ht="17.100000000000001" customHeight="1">
      <c r="F74" s="4"/>
      <c r="G74" s="11"/>
      <c r="P74" s="283"/>
      <c r="Y74" s="4"/>
      <c r="Z74" s="4"/>
    </row>
    <row r="75" spans="6:26" ht="17.100000000000001" customHeight="1">
      <c r="F75" s="4"/>
      <c r="G75" s="11"/>
      <c r="P75" s="283"/>
      <c r="Y75" s="4"/>
      <c r="Z75" s="4"/>
    </row>
    <row r="76" spans="6:26" ht="17.100000000000001" customHeight="1">
      <c r="F76" s="4"/>
      <c r="G76" s="11"/>
      <c r="P76" s="283"/>
      <c r="Y76" s="4"/>
      <c r="Z76" s="4"/>
    </row>
    <row r="77" spans="6:26" ht="17.100000000000001" customHeight="1">
      <c r="F77" s="4"/>
      <c r="G77" s="11"/>
      <c r="P77" s="283"/>
      <c r="Y77" s="4"/>
      <c r="Z77" s="4"/>
    </row>
    <row r="78" spans="6:26" ht="17.100000000000001" customHeight="1">
      <c r="F78" s="4"/>
      <c r="G78" s="11"/>
      <c r="P78" s="283"/>
      <c r="Y78" s="4"/>
      <c r="Z78" s="4"/>
    </row>
    <row r="79" spans="6:26" ht="17.100000000000001" customHeight="1">
      <c r="F79" s="4"/>
      <c r="G79" s="11"/>
      <c r="P79" s="283"/>
      <c r="Y79" s="4"/>
      <c r="Z79" s="4"/>
    </row>
    <row r="80" spans="6:26" ht="17.100000000000001" customHeight="1">
      <c r="F80" s="4"/>
      <c r="G80" s="11"/>
      <c r="P80" s="283"/>
      <c r="Y80" s="4"/>
      <c r="Z80" s="4"/>
    </row>
    <row r="81" spans="6:26" ht="17.100000000000001" customHeight="1">
      <c r="F81" s="4"/>
      <c r="G81" s="11"/>
      <c r="P81" s="283"/>
      <c r="Y81" s="4"/>
      <c r="Z81" s="4"/>
    </row>
    <row r="82" spans="6:26" ht="17.100000000000001" customHeight="1">
      <c r="F82" s="4"/>
      <c r="G82" s="11"/>
      <c r="P82" s="283"/>
      <c r="Y82" s="4"/>
      <c r="Z82" s="4"/>
    </row>
    <row r="83" spans="6:26" ht="17.100000000000001" customHeight="1">
      <c r="F83" s="4"/>
      <c r="G83" s="11"/>
      <c r="P83" s="283"/>
      <c r="Y83" s="4"/>
      <c r="Z83" s="4"/>
    </row>
    <row r="84" spans="6:26" ht="17.100000000000001" customHeight="1">
      <c r="F84" s="4"/>
      <c r="G84" s="11"/>
      <c r="P84" s="283"/>
      <c r="Y84" s="4"/>
      <c r="Z84" s="4"/>
    </row>
    <row r="85" spans="6:26" ht="17.100000000000001" customHeight="1">
      <c r="F85" s="4"/>
      <c r="G85" s="11"/>
      <c r="P85" s="283"/>
      <c r="Y85" s="4"/>
      <c r="Z85" s="4"/>
    </row>
    <row r="86" spans="6:26" ht="17.100000000000001" customHeight="1">
      <c r="F86" s="4"/>
      <c r="G86" s="11"/>
      <c r="P86" s="283"/>
      <c r="Y86" s="4"/>
      <c r="Z86" s="4"/>
    </row>
    <row r="87" spans="6:26" ht="17.100000000000001" customHeight="1">
      <c r="F87" s="4"/>
      <c r="G87" s="11"/>
      <c r="P87" s="283"/>
      <c r="Y87" s="4"/>
      <c r="Z87" s="4"/>
    </row>
    <row r="88" spans="6:26" ht="17.100000000000001" customHeight="1">
      <c r="F88" s="4"/>
      <c r="G88" s="11"/>
      <c r="P88" s="283"/>
      <c r="Y88" s="4"/>
      <c r="Z88" s="4"/>
    </row>
    <row r="89" spans="6:26" ht="17.100000000000001" customHeight="1">
      <c r="F89" s="4"/>
      <c r="G89" s="11"/>
      <c r="P89" s="283"/>
      <c r="Y89" s="4"/>
      <c r="Z89" s="4"/>
    </row>
    <row r="90" spans="6:26" ht="17.100000000000001" customHeight="1">
      <c r="F90" s="4"/>
      <c r="G90" s="11"/>
      <c r="P90" s="283"/>
      <c r="Y90" s="4"/>
      <c r="Z90" s="4"/>
    </row>
    <row r="91" spans="6:26" ht="17.100000000000001" customHeight="1">
      <c r="F91" s="4"/>
      <c r="G91" s="11"/>
      <c r="P91" s="283"/>
      <c r="Y91" s="4"/>
      <c r="Z91" s="4"/>
    </row>
    <row r="92" spans="6:26" ht="17.100000000000001" customHeight="1">
      <c r="F92" s="4"/>
      <c r="G92" s="11"/>
      <c r="P92" s="283"/>
      <c r="Y92" s="4"/>
      <c r="Z92" s="4"/>
    </row>
    <row r="93" spans="6:26" ht="17.100000000000001" customHeight="1">
      <c r="F93" s="4"/>
      <c r="G93" s="11"/>
      <c r="P93" s="283"/>
      <c r="Y93" s="4"/>
      <c r="Z93" s="4"/>
    </row>
    <row r="94" spans="6:26" ht="17.100000000000001" customHeight="1">
      <c r="F94" s="4"/>
      <c r="G94" s="11"/>
      <c r="P94" s="283"/>
      <c r="Y94" s="4"/>
      <c r="Z94" s="4"/>
    </row>
    <row r="95" spans="6:26" ht="17.100000000000001" customHeight="1">
      <c r="F95" s="4"/>
      <c r="G95" s="11"/>
      <c r="P95" s="283"/>
      <c r="Y95" s="4"/>
      <c r="Z95" s="4"/>
    </row>
    <row r="96" spans="6:26" ht="17.100000000000001" customHeight="1">
      <c r="F96" s="4"/>
      <c r="G96" s="11"/>
      <c r="P96" s="283"/>
      <c r="Y96" s="4"/>
      <c r="Z96" s="4"/>
    </row>
    <row r="97" spans="6:26" ht="17.100000000000001" customHeight="1">
      <c r="F97" s="4"/>
      <c r="G97" s="11"/>
      <c r="P97" s="283"/>
      <c r="Y97" s="4"/>
      <c r="Z97" s="4"/>
    </row>
    <row r="98" spans="6:26" ht="17.100000000000001" customHeight="1">
      <c r="F98" s="4"/>
      <c r="G98" s="11"/>
      <c r="P98" s="283"/>
      <c r="Y98" s="4"/>
      <c r="Z98" s="4"/>
    </row>
    <row r="99" spans="6:26" ht="17.100000000000001" customHeight="1">
      <c r="F99" s="4"/>
      <c r="G99" s="11"/>
      <c r="P99" s="283"/>
      <c r="Y99" s="4"/>
      <c r="Z99" s="4"/>
    </row>
    <row r="100" spans="6:26" ht="17.100000000000001" customHeight="1">
      <c r="F100" s="4"/>
      <c r="G100" s="11"/>
      <c r="P100" s="283"/>
      <c r="Y100" s="4"/>
      <c r="Z100" s="4"/>
    </row>
    <row r="101" spans="6:26" ht="17.100000000000001" customHeight="1">
      <c r="F101" s="4"/>
      <c r="G101" s="11"/>
      <c r="P101" s="283"/>
      <c r="Y101" s="4"/>
      <c r="Z101" s="4"/>
    </row>
    <row r="102" spans="6:26" ht="17.100000000000001" customHeight="1">
      <c r="F102" s="4"/>
      <c r="G102" s="11"/>
      <c r="P102" s="283"/>
      <c r="Y102" s="4"/>
      <c r="Z102" s="4"/>
    </row>
    <row r="103" spans="6:26" ht="17.100000000000001" customHeight="1">
      <c r="F103" s="4"/>
      <c r="G103" s="11"/>
      <c r="P103" s="283"/>
      <c r="Y103" s="4"/>
      <c r="Z103" s="4"/>
    </row>
    <row r="104" spans="6:26" ht="17.100000000000001" customHeight="1">
      <c r="F104" s="4"/>
      <c r="G104" s="11"/>
      <c r="P104" s="283"/>
      <c r="Y104" s="4"/>
      <c r="Z104" s="4"/>
    </row>
    <row r="105" spans="6:26" ht="17.100000000000001" customHeight="1">
      <c r="F105" s="4"/>
      <c r="G105" s="11"/>
      <c r="P105" s="283"/>
      <c r="Y105" s="4"/>
      <c r="Z105" s="4"/>
    </row>
    <row r="106" spans="6:26" ht="17.100000000000001" customHeight="1">
      <c r="F106" s="4"/>
      <c r="G106" s="11"/>
      <c r="P106" s="283"/>
      <c r="Y106" s="4"/>
      <c r="Z106" s="4"/>
    </row>
    <row r="107" spans="6:26" ht="17.100000000000001" customHeight="1">
      <c r="F107" s="4"/>
      <c r="G107" s="11"/>
      <c r="P107" s="283"/>
      <c r="Y107" s="4"/>
      <c r="Z107" s="4"/>
    </row>
    <row r="108" spans="6:26" ht="17.100000000000001" customHeight="1">
      <c r="F108" s="4"/>
      <c r="G108" s="11"/>
      <c r="P108" s="283"/>
      <c r="Y108" s="4"/>
      <c r="Z108" s="4"/>
    </row>
    <row r="109" spans="6:26" ht="17.100000000000001" customHeight="1">
      <c r="F109" s="4"/>
      <c r="G109" s="11"/>
      <c r="P109" s="283"/>
      <c r="Y109" s="4"/>
      <c r="Z109" s="4"/>
    </row>
    <row r="110" spans="6:26" ht="17.100000000000001" customHeight="1">
      <c r="F110" s="4"/>
      <c r="G110" s="11"/>
      <c r="P110" s="283"/>
      <c r="Y110" s="4"/>
      <c r="Z110" s="4"/>
    </row>
    <row r="111" spans="6:26" ht="17.100000000000001" customHeight="1">
      <c r="F111" s="4"/>
      <c r="G111" s="11"/>
      <c r="P111" s="283"/>
      <c r="Y111" s="4"/>
      <c r="Z111" s="4"/>
    </row>
    <row r="112" spans="6:26" ht="17.100000000000001" customHeight="1">
      <c r="F112" s="4"/>
      <c r="G112" s="11"/>
      <c r="P112" s="283"/>
      <c r="Y112" s="4"/>
      <c r="Z112" s="4"/>
    </row>
    <row r="113" spans="6:26" ht="17.100000000000001" customHeight="1">
      <c r="F113" s="4"/>
      <c r="G113" s="11"/>
      <c r="P113" s="276"/>
      <c r="Y113" s="4"/>
      <c r="Z113" s="4"/>
    </row>
    <row r="114" spans="6:26" ht="17.100000000000001" customHeight="1">
      <c r="F114" s="4"/>
      <c r="G114" s="11"/>
      <c r="P114" s="276"/>
      <c r="Y114" s="4"/>
      <c r="Z114" s="4"/>
    </row>
    <row r="115" spans="6:26" ht="17.100000000000001" customHeight="1">
      <c r="F115" s="4"/>
      <c r="G115" s="11"/>
      <c r="P115" s="276"/>
      <c r="Y115" s="4"/>
      <c r="Z115" s="4"/>
    </row>
    <row r="116" spans="6:26" ht="17.100000000000001" customHeight="1">
      <c r="F116" s="4"/>
      <c r="G116" s="11"/>
      <c r="P116" s="276"/>
      <c r="Y116" s="4"/>
      <c r="Z116" s="4"/>
    </row>
    <row r="117" spans="6:26" ht="17.100000000000001" customHeight="1">
      <c r="F117" s="4"/>
      <c r="G117" s="11"/>
      <c r="P117" s="276"/>
      <c r="Y117" s="4"/>
      <c r="Z117" s="4"/>
    </row>
    <row r="118" spans="6:26" ht="17.100000000000001" customHeight="1">
      <c r="F118" s="4"/>
      <c r="G118" s="11"/>
      <c r="P118" s="276"/>
      <c r="Y118" s="4"/>
      <c r="Z118" s="4"/>
    </row>
    <row r="119" spans="6:26" ht="17.100000000000001" customHeight="1">
      <c r="F119" s="4"/>
      <c r="G119" s="11"/>
      <c r="P119" s="276"/>
      <c r="Y119" s="4"/>
      <c r="Z119" s="4"/>
    </row>
    <row r="120" spans="6:26" ht="17.100000000000001" customHeight="1">
      <c r="F120" s="4"/>
      <c r="G120" s="11"/>
      <c r="P120" s="276"/>
      <c r="Y120" s="4"/>
      <c r="Z120" s="4"/>
    </row>
    <row r="121" spans="6:26" ht="17.100000000000001" customHeight="1">
      <c r="F121" s="4"/>
      <c r="G121" s="11"/>
      <c r="P121" s="276"/>
      <c r="Y121" s="4"/>
      <c r="Z121" s="4"/>
    </row>
    <row r="122" spans="6:26" ht="17.100000000000001" customHeight="1">
      <c r="F122" s="4"/>
      <c r="G122" s="11"/>
      <c r="P122" s="276"/>
      <c r="Y122" s="4"/>
      <c r="Z122" s="4"/>
    </row>
    <row r="123" spans="6:26" ht="17.100000000000001" customHeight="1">
      <c r="F123" s="4"/>
      <c r="G123" s="11"/>
      <c r="P123" s="276"/>
      <c r="Y123" s="4"/>
      <c r="Z123" s="4"/>
    </row>
    <row r="124" spans="6:26" ht="17.100000000000001" customHeight="1">
      <c r="F124" s="4"/>
      <c r="G124" s="11"/>
      <c r="P124" s="276"/>
      <c r="Y124" s="4"/>
      <c r="Z124" s="4"/>
    </row>
    <row r="125" spans="6:26" ht="17.100000000000001" customHeight="1">
      <c r="F125" s="4"/>
      <c r="G125" s="11"/>
      <c r="P125" s="276"/>
      <c r="Y125" s="4"/>
      <c r="Z125" s="4"/>
    </row>
    <row r="126" spans="6:26" ht="17.100000000000001" customHeight="1">
      <c r="F126" s="4"/>
      <c r="G126" s="11"/>
      <c r="Y126" s="4"/>
      <c r="Z126" s="4"/>
    </row>
    <row r="127" spans="6:26" ht="17.100000000000001" customHeight="1">
      <c r="F127" s="4"/>
      <c r="G127" s="11"/>
      <c r="Y127" s="4"/>
      <c r="Z127" s="4"/>
    </row>
    <row r="128" spans="6:26" ht="17.100000000000001" customHeight="1">
      <c r="F128" s="4"/>
      <c r="G128" s="11"/>
      <c r="Y128" s="4"/>
      <c r="Z128" s="4"/>
    </row>
    <row r="129" spans="6:26" ht="17.100000000000001" customHeight="1">
      <c r="F129" s="4"/>
      <c r="G129" s="11"/>
      <c r="Y129" s="4"/>
      <c r="Z129" s="4"/>
    </row>
    <row r="130" spans="6:26" ht="17.100000000000001" customHeight="1">
      <c r="F130" s="4"/>
      <c r="G130" s="11"/>
      <c r="Y130" s="4"/>
      <c r="Z130" s="4"/>
    </row>
    <row r="131" spans="6:26" ht="17.100000000000001" customHeight="1">
      <c r="F131" s="4"/>
      <c r="G131" s="11"/>
      <c r="Y131" s="4"/>
      <c r="Z131" s="4"/>
    </row>
    <row r="132" spans="6:26" ht="17.100000000000001" customHeight="1">
      <c r="F132" s="4"/>
      <c r="G132" s="11"/>
      <c r="Y132" s="4"/>
      <c r="Z132" s="4"/>
    </row>
    <row r="133" spans="6:26" ht="17.100000000000001" customHeight="1">
      <c r="F133" s="4"/>
      <c r="G133" s="11"/>
      <c r="Y133" s="4"/>
      <c r="Z133" s="4"/>
    </row>
    <row r="134" spans="6:26" ht="17.100000000000001" customHeight="1">
      <c r="F134" s="4"/>
      <c r="G134" s="11"/>
      <c r="Y134" s="4"/>
      <c r="Z134" s="4"/>
    </row>
  </sheetData>
  <mergeCells count="52">
    <mergeCell ref="I33:I35"/>
    <mergeCell ref="J33:K33"/>
    <mergeCell ref="J34:J35"/>
    <mergeCell ref="P36:P112"/>
    <mergeCell ref="I24:I29"/>
    <mergeCell ref="J24:K24"/>
    <mergeCell ref="J25:J29"/>
    <mergeCell ref="I30:I32"/>
    <mergeCell ref="J30:K30"/>
    <mergeCell ref="J31:J32"/>
    <mergeCell ref="C13:D13"/>
    <mergeCell ref="J13:J19"/>
    <mergeCell ref="C14:C15"/>
    <mergeCell ref="I20:I23"/>
    <mergeCell ref="J20:K20"/>
    <mergeCell ref="J21:J23"/>
    <mergeCell ref="B7:B9"/>
    <mergeCell ref="C7:D7"/>
    <mergeCell ref="I7:I19"/>
    <mergeCell ref="J7:K7"/>
    <mergeCell ref="C8:C9"/>
    <mergeCell ref="J8:J12"/>
    <mergeCell ref="B10:B12"/>
    <mergeCell ref="C10:D10"/>
    <mergeCell ref="C11:C12"/>
    <mergeCell ref="B13:B15"/>
    <mergeCell ref="L4:L5"/>
    <mergeCell ref="M4:M5"/>
    <mergeCell ref="N4:O4"/>
    <mergeCell ref="B6:D6"/>
    <mergeCell ref="I6:K6"/>
    <mergeCell ref="R6:S6"/>
    <mergeCell ref="R3:R4"/>
    <mergeCell ref="S3:S4"/>
    <mergeCell ref="T3:T4"/>
    <mergeCell ref="U3:U4"/>
    <mergeCell ref="V3:W3"/>
    <mergeCell ref="B4:B5"/>
    <mergeCell ref="C4:C5"/>
    <mergeCell ref="D4:D5"/>
    <mergeCell ref="E4:E5"/>
    <mergeCell ref="F4:F5"/>
    <mergeCell ref="B1:O1"/>
    <mergeCell ref="B2:D2"/>
    <mergeCell ref="N2:O2"/>
    <mergeCell ref="B3:H3"/>
    <mergeCell ref="I3:O3"/>
    <mergeCell ref="Q3:Q4"/>
    <mergeCell ref="G4:H4"/>
    <mergeCell ref="I4:I5"/>
    <mergeCell ref="J4:J5"/>
    <mergeCell ref="K4:K5"/>
  </mergeCells>
  <phoneticPr fontId="2" type="noConversion"/>
  <pageMargins left="0.19685039370078741" right="0.19685039370078741" top="0.19685039370078741" bottom="0.19685039370078741" header="0" footer="0"/>
  <pageSetup paperSize="9" scale="82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Z81"/>
  <sheetViews>
    <sheetView tabSelected="1" view="pageBreakPreview" zoomScaleSheetLayoutView="100" workbookViewId="0">
      <pane xSplit="1" topLeftCell="B1" activePane="topRight" state="frozen"/>
      <selection activeCell="I6" sqref="I6:K6"/>
      <selection pane="topRight" activeCell="I6" sqref="I6:K6"/>
    </sheetView>
  </sheetViews>
  <sheetFormatPr defaultRowHeight="13.5"/>
  <cols>
    <col min="1" max="1" width="2.44140625" style="4" customWidth="1"/>
    <col min="2" max="2" width="8.88671875" style="275" customWidth="1"/>
    <col min="3" max="3" width="10.109375" style="275" customWidth="1"/>
    <col min="4" max="4" width="17.21875" style="275" bestFit="1" customWidth="1"/>
    <col min="5" max="5" width="12.21875" style="11" customWidth="1"/>
    <col min="6" max="6" width="12.21875" style="17" customWidth="1"/>
    <col min="7" max="7" width="11.77734375" style="33" customWidth="1"/>
    <col min="8" max="8" width="7.88671875" style="4" customWidth="1"/>
    <col min="9" max="9" width="9.44140625" style="275" customWidth="1"/>
    <col min="10" max="10" width="8.88671875" style="275" customWidth="1"/>
    <col min="11" max="11" width="14.44140625" style="275" customWidth="1"/>
    <col min="12" max="13" width="12.21875" style="11" customWidth="1"/>
    <col min="14" max="14" width="11.77734375" style="11" customWidth="1"/>
    <col min="15" max="15" width="7.77734375" style="415" customWidth="1"/>
    <col min="16" max="16" width="8.88671875" style="4"/>
    <col min="17" max="17" width="9.44140625" style="4" bestFit="1" customWidth="1"/>
    <col min="18" max="18" width="8.88671875" style="4"/>
    <col min="19" max="19" width="17.21875" style="4" bestFit="1" customWidth="1"/>
    <col min="20" max="23" width="8.88671875" style="4"/>
    <col min="24" max="24" width="27.33203125" style="4" bestFit="1" customWidth="1"/>
    <col min="25" max="25" width="34.33203125" style="17" bestFit="1" customWidth="1"/>
    <col min="26" max="26" width="13.6640625" style="27" bestFit="1" customWidth="1"/>
    <col min="27" max="16384" width="8.88671875" style="4"/>
  </cols>
  <sheetData>
    <row r="1" spans="2:24" ht="29.25" customHeight="1">
      <c r="B1" s="332" t="s">
        <v>531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2:24" ht="16.5" customHeight="1" thickBot="1">
      <c r="B2" s="342"/>
      <c r="C2" s="342"/>
      <c r="D2" s="342"/>
      <c r="E2" s="24"/>
      <c r="F2" s="28"/>
      <c r="G2" s="29"/>
      <c r="H2" s="7"/>
      <c r="I2" s="53"/>
      <c r="J2" s="53"/>
      <c r="K2" s="53"/>
      <c r="L2" s="24"/>
      <c r="M2" s="24"/>
      <c r="N2" s="371" t="s">
        <v>373</v>
      </c>
      <c r="O2" s="372"/>
      <c r="P2" s="5"/>
      <c r="Q2" s="5"/>
      <c r="R2" s="5"/>
      <c r="S2" s="5"/>
      <c r="T2" s="5"/>
      <c r="U2" s="5"/>
      <c r="V2" s="5"/>
      <c r="W2" s="5"/>
      <c r="X2" s="5"/>
    </row>
    <row r="3" spans="2:24" ht="15" customHeight="1">
      <c r="B3" s="321" t="s">
        <v>374</v>
      </c>
      <c r="C3" s="322"/>
      <c r="D3" s="322"/>
      <c r="E3" s="322"/>
      <c r="F3" s="322"/>
      <c r="G3" s="322"/>
      <c r="H3" s="322"/>
      <c r="I3" s="322" t="s">
        <v>375</v>
      </c>
      <c r="J3" s="322"/>
      <c r="K3" s="322"/>
      <c r="L3" s="322"/>
      <c r="M3" s="322"/>
      <c r="N3" s="322"/>
      <c r="O3" s="336"/>
      <c r="P3" s="5"/>
      <c r="Q3" s="323"/>
      <c r="R3" s="323"/>
      <c r="S3" s="323"/>
      <c r="T3" s="324"/>
      <c r="U3" s="324"/>
      <c r="V3" s="323"/>
      <c r="W3" s="323"/>
      <c r="X3" s="5"/>
    </row>
    <row r="4" spans="2:24" ht="20.25" customHeight="1">
      <c r="B4" s="326" t="s">
        <v>376</v>
      </c>
      <c r="C4" s="300" t="s">
        <v>377</v>
      </c>
      <c r="D4" s="300" t="s">
        <v>378</v>
      </c>
      <c r="E4" s="331" t="s">
        <v>379</v>
      </c>
      <c r="F4" s="331" t="s">
        <v>380</v>
      </c>
      <c r="G4" s="300" t="s">
        <v>381</v>
      </c>
      <c r="H4" s="300"/>
      <c r="I4" s="300" t="s">
        <v>376</v>
      </c>
      <c r="J4" s="300" t="s">
        <v>377</v>
      </c>
      <c r="K4" s="300" t="s">
        <v>378</v>
      </c>
      <c r="L4" s="331" t="s">
        <v>379</v>
      </c>
      <c r="M4" s="331" t="s">
        <v>380</v>
      </c>
      <c r="N4" s="300" t="s">
        <v>381</v>
      </c>
      <c r="O4" s="373"/>
      <c r="P4" s="5"/>
      <c r="Q4" s="284"/>
      <c r="R4" s="284"/>
      <c r="S4" s="284"/>
      <c r="T4" s="284"/>
      <c r="U4" s="284"/>
      <c r="V4" s="269"/>
      <c r="W4" s="269"/>
      <c r="X4" s="5"/>
    </row>
    <row r="5" spans="2:24" ht="20.25" customHeight="1" thickBot="1">
      <c r="B5" s="327"/>
      <c r="C5" s="328"/>
      <c r="D5" s="328"/>
      <c r="E5" s="328"/>
      <c r="F5" s="328"/>
      <c r="G5" s="30" t="s">
        <v>382</v>
      </c>
      <c r="H5" s="268" t="s">
        <v>383</v>
      </c>
      <c r="I5" s="328"/>
      <c r="J5" s="328"/>
      <c r="K5" s="328"/>
      <c r="L5" s="328"/>
      <c r="M5" s="328"/>
      <c r="N5" s="374" t="s">
        <v>382</v>
      </c>
      <c r="O5" s="375" t="s">
        <v>383</v>
      </c>
      <c r="P5" s="5"/>
      <c r="Q5" s="77"/>
      <c r="R5" s="77"/>
      <c r="S5" s="77"/>
      <c r="T5" s="5"/>
      <c r="U5" s="5"/>
      <c r="V5" s="5"/>
      <c r="W5" s="5"/>
      <c r="X5" s="5"/>
    </row>
    <row r="6" spans="2:24" ht="15.75" customHeight="1" thickBot="1">
      <c r="B6" s="337" t="s">
        <v>384</v>
      </c>
      <c r="C6" s="338"/>
      <c r="D6" s="338"/>
      <c r="E6" s="143">
        <f>E7+E12+E15+E18</f>
        <v>12505000</v>
      </c>
      <c r="F6" s="143">
        <f>F7+F12+F15+F18</f>
        <v>14511000</v>
      </c>
      <c r="G6" s="143">
        <f>F6-E6</f>
        <v>2006000</v>
      </c>
      <c r="H6" s="424">
        <f>F6/E6*100-100</f>
        <v>16.041583366653327</v>
      </c>
      <c r="I6" s="337" t="s">
        <v>384</v>
      </c>
      <c r="J6" s="338"/>
      <c r="K6" s="338"/>
      <c r="L6" s="143">
        <f>'세출 (5)'!E5</f>
        <v>12505000</v>
      </c>
      <c r="M6" s="143">
        <f>'세출 (5)'!F5</f>
        <v>14511000</v>
      </c>
      <c r="N6" s="143">
        <f>M6-L6</f>
        <v>2006000</v>
      </c>
      <c r="O6" s="424">
        <f>M6/L6*100-100</f>
        <v>16.041583366653327</v>
      </c>
      <c r="P6" s="5"/>
      <c r="Q6" s="5"/>
      <c r="R6" s="323"/>
      <c r="S6" s="323"/>
      <c r="T6" s="5"/>
      <c r="U6" s="5"/>
      <c r="V6" s="5"/>
      <c r="W6" s="5"/>
      <c r="X6" s="5"/>
    </row>
    <row r="7" spans="2:24" ht="16.5" customHeight="1">
      <c r="B7" s="541" t="s">
        <v>532</v>
      </c>
      <c r="C7" s="542" t="s">
        <v>386</v>
      </c>
      <c r="D7" s="543"/>
      <c r="E7" s="201">
        <f>E8</f>
        <v>5000000</v>
      </c>
      <c r="F7" s="201">
        <f>F8</f>
        <v>1000000</v>
      </c>
      <c r="G7" s="380">
        <f>F7-E7</f>
        <v>-4000000</v>
      </c>
      <c r="H7" s="381">
        <f>F7/E7*100-100</f>
        <v>-80</v>
      </c>
      <c r="I7" s="302" t="str">
        <f>'세출 (5)'!B6</f>
        <v>재산조성비</v>
      </c>
      <c r="J7" s="542" t="s">
        <v>386</v>
      </c>
      <c r="K7" s="544"/>
      <c r="L7" s="201">
        <f>L8</f>
        <v>0</v>
      </c>
      <c r="M7" s="201">
        <f>M8</f>
        <v>0</v>
      </c>
      <c r="N7" s="201"/>
      <c r="O7" s="381"/>
      <c r="P7" s="5"/>
      <c r="Q7" s="5"/>
      <c r="R7" s="5"/>
      <c r="S7" s="5"/>
      <c r="T7" s="5"/>
      <c r="U7" s="5"/>
      <c r="V7" s="5"/>
      <c r="W7" s="5"/>
      <c r="X7" s="5"/>
    </row>
    <row r="8" spans="2:24" ht="16.5" customHeight="1">
      <c r="B8" s="545"/>
      <c r="C8" s="309" t="str">
        <f>'세입 (5)'!C7</f>
        <v>재산
조성충당금</v>
      </c>
      <c r="D8" s="277" t="s">
        <v>388</v>
      </c>
      <c r="E8" s="141">
        <f>SUM(E9:E11)</f>
        <v>5000000</v>
      </c>
      <c r="F8" s="141">
        <f>SUM(F9:F11)</f>
        <v>1000000</v>
      </c>
      <c r="G8" s="148">
        <f>F8-E8</f>
        <v>-4000000</v>
      </c>
      <c r="H8" s="387">
        <f t="shared" ref="H8:H20" si="0">F8/E8*100-100</f>
        <v>-80</v>
      </c>
      <c r="I8" s="286"/>
      <c r="J8" s="319" t="str">
        <f>'세출 (5)'!C7</f>
        <v>시설비</v>
      </c>
      <c r="K8" s="158" t="s">
        <v>389</v>
      </c>
      <c r="L8" s="141">
        <f>L9</f>
        <v>0</v>
      </c>
      <c r="M8" s="141">
        <f>M9</f>
        <v>0</v>
      </c>
      <c r="N8" s="141">
        <f t="shared" ref="N8" si="1">SUM(N9:N11)</f>
        <v>0</v>
      </c>
      <c r="O8" s="390"/>
      <c r="P8" s="5"/>
      <c r="Q8" s="5"/>
      <c r="R8" s="5"/>
      <c r="S8" s="5"/>
      <c r="T8" s="5"/>
      <c r="U8" s="5"/>
      <c r="V8" s="5"/>
      <c r="W8" s="5"/>
      <c r="X8" s="5"/>
    </row>
    <row r="9" spans="2:24" ht="16.5" customHeight="1">
      <c r="B9" s="545"/>
      <c r="C9" s="445"/>
      <c r="D9" s="277" t="str">
        <f>'세입 (5)'!D8</f>
        <v>건물재산조성충당금</v>
      </c>
      <c r="E9" s="141">
        <f>'세입 (5)'!E8</f>
        <v>3000000</v>
      </c>
      <c r="F9" s="141">
        <f>'세입 (5)'!F8</f>
        <v>500000</v>
      </c>
      <c r="G9" s="148">
        <f t="shared" ref="G9:G20" si="2">F9-E9</f>
        <v>-2500000</v>
      </c>
      <c r="H9" s="387">
        <f t="shared" si="0"/>
        <v>-83.333333333333343</v>
      </c>
      <c r="I9" s="286"/>
      <c r="J9" s="314"/>
      <c r="K9" s="158" t="str">
        <f>'세출 (5)'!D8</f>
        <v>시설비</v>
      </c>
      <c r="L9" s="141">
        <f>'세출 (5)'!E8</f>
        <v>0</v>
      </c>
      <c r="M9" s="141"/>
      <c r="N9" s="141">
        <f t="shared" ref="N9:N17" si="3">M9-L9</f>
        <v>0</v>
      </c>
      <c r="O9" s="390"/>
      <c r="P9" s="5"/>
      <c r="Q9" s="5"/>
      <c r="R9" s="5"/>
      <c r="S9" s="5"/>
      <c r="T9" s="5"/>
      <c r="U9" s="5"/>
      <c r="V9" s="5"/>
      <c r="W9" s="5"/>
      <c r="X9" s="5"/>
    </row>
    <row r="10" spans="2:24" ht="16.5" customHeight="1">
      <c r="B10" s="545"/>
      <c r="C10" s="445"/>
      <c r="D10" s="277" t="str">
        <f>'세입 (5)'!D9</f>
        <v>비품재산조성충당금</v>
      </c>
      <c r="E10" s="141">
        <f>'세입 (5)'!E9</f>
        <v>1000000</v>
      </c>
      <c r="F10" s="141">
        <f>'세입 (5)'!F9</f>
        <v>300000</v>
      </c>
      <c r="G10" s="148"/>
      <c r="H10" s="387">
        <f t="shared" si="0"/>
        <v>-70</v>
      </c>
      <c r="I10" s="286"/>
      <c r="J10" s="314"/>
      <c r="K10" s="158" t="str">
        <f>'세출 (5)'!D9</f>
        <v>자산취득비</v>
      </c>
      <c r="L10" s="141">
        <f>'세출 (5)'!E9</f>
        <v>0</v>
      </c>
      <c r="M10" s="141">
        <f>'세출 (5)'!F9</f>
        <v>0</v>
      </c>
      <c r="N10" s="141"/>
      <c r="O10" s="390"/>
      <c r="P10" s="5"/>
      <c r="Q10" s="5"/>
      <c r="R10" s="5"/>
      <c r="S10" s="5"/>
      <c r="T10" s="5"/>
      <c r="U10" s="5"/>
      <c r="V10" s="5"/>
      <c r="W10" s="5"/>
      <c r="X10" s="5"/>
    </row>
    <row r="11" spans="2:24" ht="16.5" customHeight="1">
      <c r="B11" s="546"/>
      <c r="C11" s="449"/>
      <c r="D11" s="277" t="str">
        <f>'세입 (5)'!D10</f>
        <v>차량재산조성충당금</v>
      </c>
      <c r="E11" s="141">
        <f>'세입 (5)'!E10</f>
        <v>1000000</v>
      </c>
      <c r="F11" s="141">
        <f>'세입 (5)'!F10</f>
        <v>200000</v>
      </c>
      <c r="G11" s="148"/>
      <c r="H11" s="387">
        <f t="shared" si="0"/>
        <v>-80</v>
      </c>
      <c r="I11" s="286"/>
      <c r="J11" s="315"/>
      <c r="K11" s="164" t="str">
        <f>'세출 (5)'!D10</f>
        <v>시설장비유지비</v>
      </c>
      <c r="L11" s="141">
        <f>'세출 (5)'!E10</f>
        <v>0</v>
      </c>
      <c r="M11" s="141">
        <f>'세출 (5)'!F10</f>
        <v>0</v>
      </c>
      <c r="N11" s="141"/>
      <c r="O11" s="390"/>
      <c r="P11" s="5"/>
      <c r="Q11" s="5"/>
      <c r="R11" s="5"/>
      <c r="S11" s="5"/>
      <c r="T11" s="5"/>
      <c r="U11" s="5"/>
      <c r="V11" s="5"/>
      <c r="W11" s="5"/>
      <c r="X11" s="5"/>
    </row>
    <row r="12" spans="2:24" ht="16.5" customHeight="1">
      <c r="B12" s="285" t="str">
        <f>'세입 (5)'!B11</f>
        <v>사업운영
충당금</v>
      </c>
      <c r="C12" s="311" t="s">
        <v>386</v>
      </c>
      <c r="D12" s="312"/>
      <c r="E12" s="140">
        <f>E13</f>
        <v>5000000</v>
      </c>
      <c r="F12" s="140">
        <f>F13</f>
        <v>1000000</v>
      </c>
      <c r="G12" s="148">
        <f>F12-E12</f>
        <v>-4000000</v>
      </c>
      <c r="H12" s="387">
        <f t="shared" si="0"/>
        <v>-80</v>
      </c>
      <c r="I12" s="288" t="str">
        <f>'세출 (5)'!B11</f>
        <v>전출금</v>
      </c>
      <c r="J12" s="311" t="s">
        <v>386</v>
      </c>
      <c r="K12" s="312"/>
      <c r="L12" s="141">
        <f>L13</f>
        <v>0</v>
      </c>
      <c r="M12" s="141">
        <f>M13</f>
        <v>0</v>
      </c>
      <c r="N12" s="141"/>
      <c r="O12" s="390"/>
      <c r="P12" s="5"/>
      <c r="Q12" s="5"/>
      <c r="R12" s="5"/>
      <c r="S12" s="5"/>
      <c r="T12" s="5"/>
      <c r="U12" s="5"/>
      <c r="V12" s="5"/>
      <c r="W12" s="5"/>
      <c r="X12" s="5"/>
    </row>
    <row r="13" spans="2:24" ht="16.5" customHeight="1">
      <c r="B13" s="545"/>
      <c r="C13" s="313" t="str">
        <f>'세입 (5)'!C11</f>
        <v>사업운영
충당금</v>
      </c>
      <c r="D13" s="158" t="s">
        <v>388</v>
      </c>
      <c r="E13" s="140">
        <f>E14</f>
        <v>5000000</v>
      </c>
      <c r="F13" s="140">
        <f>F14</f>
        <v>1000000</v>
      </c>
      <c r="G13" s="148">
        <f t="shared" si="2"/>
        <v>-4000000</v>
      </c>
      <c r="H13" s="387">
        <f t="shared" si="0"/>
        <v>-80</v>
      </c>
      <c r="I13" s="286"/>
      <c r="J13" s="319" t="str">
        <f>'세출 (5)'!C12</f>
        <v>전출금</v>
      </c>
      <c r="K13" s="158" t="s">
        <v>389</v>
      </c>
      <c r="L13" s="141">
        <f>L14</f>
        <v>0</v>
      </c>
      <c r="M13" s="141">
        <f>M14</f>
        <v>0</v>
      </c>
      <c r="N13" s="141">
        <f t="shared" si="3"/>
        <v>0</v>
      </c>
      <c r="O13" s="390"/>
      <c r="P13" s="5"/>
      <c r="Q13" s="547"/>
      <c r="R13" s="5"/>
      <c r="S13" s="5"/>
      <c r="T13" s="5"/>
      <c r="U13" s="5"/>
      <c r="V13" s="5"/>
      <c r="W13" s="5"/>
      <c r="X13" s="5"/>
    </row>
    <row r="14" spans="2:24" ht="16.5" customHeight="1">
      <c r="B14" s="545"/>
      <c r="C14" s="548"/>
      <c r="D14" s="158" t="str">
        <f>'세입 (5)'!D8</f>
        <v>건물재산조성충당금</v>
      </c>
      <c r="E14" s="140">
        <f>'세입 (5)'!E12</f>
        <v>5000000</v>
      </c>
      <c r="F14" s="140">
        <f>'세입 (5)'!F12</f>
        <v>1000000</v>
      </c>
      <c r="G14" s="148">
        <f t="shared" si="2"/>
        <v>-4000000</v>
      </c>
      <c r="H14" s="387">
        <f t="shared" si="0"/>
        <v>-80</v>
      </c>
      <c r="I14" s="289"/>
      <c r="J14" s="315"/>
      <c r="K14" s="164" t="str">
        <f>'세출 (5)'!D13</f>
        <v>시설전출금</v>
      </c>
      <c r="L14" s="141">
        <f>'세출 (5)'!E13</f>
        <v>0</v>
      </c>
      <c r="M14" s="141">
        <f>'세출 (5)'!F13</f>
        <v>0</v>
      </c>
      <c r="N14" s="141">
        <f t="shared" si="3"/>
        <v>0</v>
      </c>
      <c r="O14" s="390"/>
      <c r="P14" s="5"/>
      <c r="Q14" s="5"/>
      <c r="R14" s="5"/>
      <c r="S14" s="5"/>
      <c r="T14" s="5"/>
      <c r="U14" s="5"/>
      <c r="V14" s="5"/>
      <c r="W14" s="5"/>
      <c r="X14" s="5"/>
    </row>
    <row r="15" spans="2:24" ht="16.5" customHeight="1">
      <c r="B15" s="549" t="str">
        <f>'세입 (5)'!B14</f>
        <v>이월금</v>
      </c>
      <c r="C15" s="311" t="s">
        <v>386</v>
      </c>
      <c r="D15" s="550"/>
      <c r="E15" s="140">
        <f>E17</f>
        <v>2500205</v>
      </c>
      <c r="F15" s="140">
        <f>F17</f>
        <v>12505000</v>
      </c>
      <c r="G15" s="148">
        <f t="shared" si="2"/>
        <v>10004795</v>
      </c>
      <c r="H15" s="387">
        <f t="shared" si="0"/>
        <v>400.15898696306903</v>
      </c>
      <c r="I15" s="551" t="str">
        <f>'세출 (5)'!B14</f>
        <v>이월금</v>
      </c>
      <c r="J15" s="552" t="s">
        <v>389</v>
      </c>
      <c r="K15" s="552"/>
      <c r="L15" s="141">
        <f>L16</f>
        <v>12505000</v>
      </c>
      <c r="M15" s="141">
        <f>M16</f>
        <v>14511000</v>
      </c>
      <c r="N15" s="141">
        <f t="shared" si="3"/>
        <v>2006000</v>
      </c>
      <c r="O15" s="390">
        <f t="shared" ref="O15" si="4">M15/L15*100-100</f>
        <v>16.041583366653327</v>
      </c>
      <c r="P15" s="5"/>
      <c r="Q15" s="5"/>
      <c r="R15" s="5"/>
      <c r="S15" s="5"/>
      <c r="T15" s="5"/>
      <c r="U15" s="5"/>
      <c r="V15" s="5"/>
      <c r="W15" s="5"/>
      <c r="X15" s="5"/>
    </row>
    <row r="16" spans="2:24" ht="16.5" customHeight="1">
      <c r="B16" s="553"/>
      <c r="C16" s="554" t="str">
        <f>'세입 (5)'!C14</f>
        <v>이월금</v>
      </c>
      <c r="D16" s="277" t="s">
        <v>388</v>
      </c>
      <c r="E16" s="140">
        <f>E17</f>
        <v>2500205</v>
      </c>
      <c r="F16" s="140">
        <f>F17</f>
        <v>12505000</v>
      </c>
      <c r="G16" s="148">
        <f t="shared" si="2"/>
        <v>10004795</v>
      </c>
      <c r="H16" s="387">
        <f t="shared" si="0"/>
        <v>400.15898696306903</v>
      </c>
      <c r="I16" s="551"/>
      <c r="J16" s="319" t="str">
        <f>'세출 (5)'!C15</f>
        <v>이월금</v>
      </c>
      <c r="K16" s="158" t="s">
        <v>389</v>
      </c>
      <c r="L16" s="141">
        <f>L17</f>
        <v>12505000</v>
      </c>
      <c r="M16" s="141">
        <f>M17</f>
        <v>14511000</v>
      </c>
      <c r="N16" s="141">
        <f t="shared" si="3"/>
        <v>2006000</v>
      </c>
      <c r="O16" s="390">
        <f>M16/L16*100-100</f>
        <v>16.041583366653327</v>
      </c>
      <c r="P16" s="5"/>
      <c r="Q16" s="5"/>
      <c r="R16" s="5"/>
      <c r="S16" s="5"/>
      <c r="T16" s="5"/>
      <c r="U16" s="5"/>
      <c r="V16" s="5"/>
      <c r="W16" s="5"/>
      <c r="X16" s="5"/>
    </row>
    <row r="17" spans="2:26" ht="16.5" customHeight="1">
      <c r="B17" s="555"/>
      <c r="C17" s="556"/>
      <c r="D17" s="158" t="s">
        <v>393</v>
      </c>
      <c r="E17" s="141">
        <f>'세입 (5)'!E15</f>
        <v>2500205</v>
      </c>
      <c r="F17" s="141">
        <f>'세입 (5)'!F15</f>
        <v>12505000</v>
      </c>
      <c r="G17" s="148">
        <f t="shared" si="2"/>
        <v>10004795</v>
      </c>
      <c r="H17" s="387">
        <f t="shared" si="0"/>
        <v>400.15898696306903</v>
      </c>
      <c r="I17" s="288"/>
      <c r="J17" s="315"/>
      <c r="K17" s="164" t="str">
        <f>'세출 (5)'!D16</f>
        <v>차기년도이월금</v>
      </c>
      <c r="L17" s="141">
        <f>'세출 (5)'!E16</f>
        <v>12505000</v>
      </c>
      <c r="M17" s="141">
        <f>'세출 (5)'!F16</f>
        <v>14511000</v>
      </c>
      <c r="N17" s="141">
        <f t="shared" si="3"/>
        <v>2006000</v>
      </c>
      <c r="O17" s="390">
        <f>M17/L17*100-100</f>
        <v>16.041583366653327</v>
      </c>
      <c r="P17" s="5"/>
      <c r="Q17" s="5"/>
      <c r="R17" s="5"/>
      <c r="S17" s="5"/>
      <c r="T17" s="5"/>
      <c r="U17" s="5"/>
      <c r="V17" s="5"/>
      <c r="W17" s="5"/>
      <c r="X17" s="5"/>
    </row>
    <row r="18" spans="2:26" ht="16.5" customHeight="1">
      <c r="B18" s="549" t="str">
        <f>'세입 (5)'!B16</f>
        <v>잡수입</v>
      </c>
      <c r="C18" s="311" t="s">
        <v>386</v>
      </c>
      <c r="D18" s="550"/>
      <c r="E18" s="141">
        <f>E19</f>
        <v>4795</v>
      </c>
      <c r="F18" s="141">
        <f>F19</f>
        <v>6000</v>
      </c>
      <c r="G18" s="148">
        <f t="shared" si="2"/>
        <v>1205</v>
      </c>
      <c r="H18" s="387">
        <f t="shared" si="0"/>
        <v>25.130344108446295</v>
      </c>
      <c r="I18" s="557"/>
      <c r="J18" s="558"/>
      <c r="K18" s="158"/>
      <c r="L18" s="141"/>
      <c r="M18" s="141"/>
      <c r="N18" s="141"/>
      <c r="O18" s="390"/>
      <c r="P18" s="5"/>
      <c r="Q18" s="5"/>
      <c r="R18" s="5"/>
      <c r="S18" s="5"/>
      <c r="T18" s="5"/>
      <c r="U18" s="5"/>
      <c r="V18" s="5"/>
      <c r="W18" s="5"/>
      <c r="X18" s="5"/>
    </row>
    <row r="19" spans="2:26" s="17" customFormat="1" ht="16.5" customHeight="1">
      <c r="B19" s="553"/>
      <c r="C19" s="559" t="str">
        <f>'세입 (5)'!C16</f>
        <v>잡수입</v>
      </c>
      <c r="D19" s="158" t="s">
        <v>388</v>
      </c>
      <c r="E19" s="141">
        <f>E20</f>
        <v>4795</v>
      </c>
      <c r="F19" s="141">
        <f>F20</f>
        <v>6000</v>
      </c>
      <c r="G19" s="148">
        <f t="shared" si="2"/>
        <v>1205</v>
      </c>
      <c r="H19" s="387">
        <f t="shared" si="0"/>
        <v>25.130344108446295</v>
      </c>
      <c r="I19" s="557"/>
      <c r="J19" s="558"/>
      <c r="K19" s="158"/>
      <c r="L19" s="141"/>
      <c r="M19" s="141"/>
      <c r="N19" s="141"/>
      <c r="O19" s="390"/>
      <c r="P19" s="5"/>
      <c r="Q19" s="5"/>
      <c r="R19" s="5"/>
      <c r="S19" s="5"/>
      <c r="T19" s="5"/>
      <c r="U19" s="5"/>
      <c r="V19" s="5"/>
      <c r="W19" s="5"/>
      <c r="X19" s="5"/>
      <c r="Z19" s="27"/>
    </row>
    <row r="20" spans="2:26" s="17" customFormat="1" ht="16.5" customHeight="1" thickBot="1">
      <c r="B20" s="560"/>
      <c r="C20" s="530"/>
      <c r="D20" s="170" t="str">
        <f>'세입 (5)'!D17</f>
        <v>예금이자수입</v>
      </c>
      <c r="E20" s="156">
        <f>'세입 (5)'!E17</f>
        <v>4795</v>
      </c>
      <c r="F20" s="156">
        <f>'세입 (5)'!F17</f>
        <v>6000</v>
      </c>
      <c r="G20" s="406">
        <f t="shared" si="2"/>
        <v>1205</v>
      </c>
      <c r="H20" s="407">
        <f t="shared" si="0"/>
        <v>25.130344108446295</v>
      </c>
      <c r="I20" s="561"/>
      <c r="J20" s="562"/>
      <c r="K20" s="170"/>
      <c r="L20" s="156"/>
      <c r="M20" s="156"/>
      <c r="N20" s="156"/>
      <c r="O20" s="411"/>
      <c r="P20" s="5"/>
      <c r="Q20" s="5"/>
      <c r="R20" s="5"/>
      <c r="S20" s="5"/>
      <c r="T20" s="5"/>
      <c r="U20" s="5"/>
      <c r="V20" s="5"/>
      <c r="W20" s="5"/>
      <c r="X20" s="5"/>
      <c r="Z20" s="27"/>
    </row>
    <row r="21" spans="2:26" ht="17.100000000000001" customHeight="1">
      <c r="F21" s="4"/>
      <c r="G21" s="11"/>
      <c r="P21" s="283"/>
      <c r="Y21" s="4"/>
      <c r="Z21" s="4"/>
    </row>
    <row r="22" spans="2:26" ht="17.100000000000001" customHeight="1">
      <c r="F22" s="4"/>
      <c r="G22" s="11"/>
      <c r="P22" s="283"/>
      <c r="Y22" s="4"/>
      <c r="Z22" s="4"/>
    </row>
    <row r="23" spans="2:26" ht="17.100000000000001" customHeight="1">
      <c r="F23" s="4"/>
      <c r="G23" s="11"/>
      <c r="P23" s="283"/>
      <c r="Y23" s="4"/>
      <c r="Z23" s="4"/>
    </row>
    <row r="24" spans="2:26" ht="17.100000000000001" customHeight="1">
      <c r="F24" s="4"/>
      <c r="G24" s="11"/>
      <c r="P24" s="283"/>
      <c r="Y24" s="4"/>
      <c r="Z24" s="4"/>
    </row>
    <row r="25" spans="2:26" ht="17.100000000000001" customHeight="1">
      <c r="F25" s="4"/>
      <c r="G25" s="11"/>
      <c r="P25" s="283"/>
      <c r="Y25" s="4"/>
      <c r="Z25" s="4"/>
    </row>
    <row r="26" spans="2:26" ht="17.100000000000001" customHeight="1">
      <c r="F26" s="4"/>
      <c r="G26" s="11"/>
      <c r="P26" s="283"/>
      <c r="Y26" s="4"/>
      <c r="Z26" s="4"/>
    </row>
    <row r="27" spans="2:26" ht="17.100000000000001" customHeight="1">
      <c r="F27" s="4"/>
      <c r="G27" s="11"/>
      <c r="P27" s="283"/>
      <c r="Y27" s="4"/>
      <c r="Z27" s="4"/>
    </row>
    <row r="28" spans="2:26" ht="17.100000000000001" customHeight="1">
      <c r="F28" s="4"/>
      <c r="G28" s="11"/>
      <c r="P28" s="283"/>
      <c r="Y28" s="4"/>
      <c r="Z28" s="4"/>
    </row>
    <row r="29" spans="2:26" ht="17.100000000000001" customHeight="1">
      <c r="F29" s="4"/>
      <c r="G29" s="11"/>
      <c r="P29" s="283"/>
      <c r="Y29" s="4"/>
      <c r="Z29" s="4"/>
    </row>
    <row r="30" spans="2:26" ht="17.100000000000001" customHeight="1">
      <c r="F30" s="4"/>
      <c r="G30" s="11"/>
      <c r="P30" s="283"/>
      <c r="Y30" s="4"/>
      <c r="Z30" s="4"/>
    </row>
    <row r="31" spans="2:26" ht="17.100000000000001" customHeight="1">
      <c r="F31" s="4"/>
      <c r="G31" s="11"/>
      <c r="P31" s="283"/>
      <c r="Y31" s="4"/>
      <c r="Z31" s="4"/>
    </row>
    <row r="32" spans="2:26" ht="17.100000000000001" customHeight="1">
      <c r="F32" s="4"/>
      <c r="G32" s="11"/>
      <c r="P32" s="283"/>
      <c r="Y32" s="4"/>
      <c r="Z32" s="4"/>
    </row>
    <row r="33" spans="6:26" ht="17.100000000000001" customHeight="1">
      <c r="F33" s="4"/>
      <c r="G33" s="11"/>
      <c r="P33" s="283"/>
      <c r="Y33" s="4"/>
      <c r="Z33" s="4"/>
    </row>
    <row r="34" spans="6:26" ht="17.100000000000001" customHeight="1">
      <c r="F34" s="4"/>
      <c r="G34" s="11"/>
      <c r="P34" s="283"/>
      <c r="Y34" s="4"/>
      <c r="Z34" s="4"/>
    </row>
    <row r="35" spans="6:26" ht="17.100000000000001" customHeight="1">
      <c r="F35" s="4"/>
      <c r="G35" s="11"/>
      <c r="P35" s="283"/>
      <c r="Y35" s="4"/>
      <c r="Z35" s="4"/>
    </row>
    <row r="36" spans="6:26" ht="17.100000000000001" customHeight="1">
      <c r="F36" s="4"/>
      <c r="G36" s="11"/>
      <c r="P36" s="283"/>
      <c r="Y36" s="4"/>
      <c r="Z36" s="4"/>
    </row>
    <row r="37" spans="6:26" ht="17.100000000000001" customHeight="1">
      <c r="F37" s="4"/>
      <c r="G37" s="11"/>
      <c r="P37" s="283"/>
      <c r="Y37" s="4"/>
      <c r="Z37" s="4"/>
    </row>
    <row r="38" spans="6:26" ht="17.100000000000001" customHeight="1">
      <c r="F38" s="4"/>
      <c r="G38" s="11"/>
      <c r="P38" s="283"/>
      <c r="Y38" s="4"/>
      <c r="Z38" s="4"/>
    </row>
    <row r="39" spans="6:26" ht="17.100000000000001" customHeight="1">
      <c r="F39" s="4"/>
      <c r="G39" s="11"/>
      <c r="P39" s="283"/>
      <c r="Y39" s="4"/>
      <c r="Z39" s="4"/>
    </row>
    <row r="40" spans="6:26" ht="17.100000000000001" customHeight="1">
      <c r="F40" s="4"/>
      <c r="G40" s="11"/>
      <c r="P40" s="283"/>
      <c r="Y40" s="4"/>
      <c r="Z40" s="4"/>
    </row>
    <row r="41" spans="6:26" ht="17.100000000000001" customHeight="1">
      <c r="F41" s="4"/>
      <c r="G41" s="11"/>
      <c r="P41" s="283"/>
      <c r="Y41" s="4"/>
      <c r="Z41" s="4"/>
    </row>
    <row r="42" spans="6:26" ht="17.100000000000001" customHeight="1">
      <c r="F42" s="4"/>
      <c r="G42" s="11"/>
      <c r="P42" s="283"/>
      <c r="Y42" s="4"/>
      <c r="Z42" s="4"/>
    </row>
    <row r="43" spans="6:26" ht="17.100000000000001" customHeight="1">
      <c r="F43" s="4"/>
      <c r="G43" s="11"/>
      <c r="P43" s="283"/>
      <c r="Y43" s="4"/>
      <c r="Z43" s="4"/>
    </row>
    <row r="44" spans="6:26" ht="17.100000000000001" customHeight="1">
      <c r="F44" s="4"/>
      <c r="G44" s="11"/>
      <c r="P44" s="283"/>
      <c r="Y44" s="4"/>
      <c r="Z44" s="4"/>
    </row>
    <row r="45" spans="6:26" ht="17.100000000000001" customHeight="1">
      <c r="F45" s="4"/>
      <c r="G45" s="11"/>
      <c r="P45" s="283"/>
      <c r="Y45" s="4"/>
      <c r="Z45" s="4"/>
    </row>
    <row r="46" spans="6:26" ht="17.100000000000001" customHeight="1">
      <c r="F46" s="4"/>
      <c r="G46" s="11"/>
      <c r="P46" s="283"/>
      <c r="Y46" s="4"/>
      <c r="Z46" s="4"/>
    </row>
    <row r="47" spans="6:26" ht="17.100000000000001" customHeight="1">
      <c r="F47" s="4"/>
      <c r="G47" s="11"/>
      <c r="P47" s="283"/>
      <c r="Y47" s="4"/>
      <c r="Z47" s="4"/>
    </row>
    <row r="48" spans="6:26" ht="17.100000000000001" customHeight="1">
      <c r="F48" s="4"/>
      <c r="G48" s="11"/>
      <c r="P48" s="283"/>
      <c r="Y48" s="4"/>
      <c r="Z48" s="4"/>
    </row>
    <row r="49" spans="6:26" ht="17.100000000000001" customHeight="1">
      <c r="F49" s="4"/>
      <c r="G49" s="11"/>
      <c r="P49" s="283"/>
      <c r="Y49" s="4"/>
      <c r="Z49" s="4"/>
    </row>
    <row r="50" spans="6:26" ht="17.100000000000001" customHeight="1">
      <c r="F50" s="4"/>
      <c r="G50" s="11"/>
      <c r="P50" s="283"/>
      <c r="Y50" s="4"/>
      <c r="Z50" s="4"/>
    </row>
    <row r="51" spans="6:26" ht="17.100000000000001" customHeight="1">
      <c r="F51" s="4"/>
      <c r="G51" s="11"/>
      <c r="P51" s="283"/>
      <c r="Y51" s="4"/>
      <c r="Z51" s="4"/>
    </row>
    <row r="52" spans="6:26" ht="17.100000000000001" customHeight="1">
      <c r="F52" s="4"/>
      <c r="G52" s="11"/>
      <c r="P52" s="283"/>
      <c r="Y52" s="4"/>
      <c r="Z52" s="4"/>
    </row>
    <row r="53" spans="6:26" ht="17.100000000000001" customHeight="1">
      <c r="F53" s="4"/>
      <c r="G53" s="11"/>
      <c r="P53" s="283"/>
      <c r="Y53" s="4"/>
      <c r="Z53" s="4"/>
    </row>
    <row r="54" spans="6:26" ht="17.100000000000001" customHeight="1">
      <c r="F54" s="4"/>
      <c r="G54" s="11"/>
      <c r="P54" s="283"/>
      <c r="Y54" s="4"/>
      <c r="Z54" s="4"/>
    </row>
    <row r="55" spans="6:26" ht="17.100000000000001" customHeight="1">
      <c r="F55" s="4"/>
      <c r="G55" s="11"/>
      <c r="P55" s="283"/>
      <c r="Y55" s="4"/>
      <c r="Z55" s="4"/>
    </row>
    <row r="56" spans="6:26" ht="17.100000000000001" customHeight="1">
      <c r="F56" s="4"/>
      <c r="G56" s="11"/>
      <c r="P56" s="283"/>
      <c r="Y56" s="4"/>
      <c r="Z56" s="4"/>
    </row>
    <row r="57" spans="6:26" ht="17.100000000000001" customHeight="1">
      <c r="F57" s="4"/>
      <c r="G57" s="11"/>
      <c r="P57" s="283"/>
      <c r="Y57" s="4"/>
      <c r="Z57" s="4"/>
    </row>
    <row r="58" spans="6:26" ht="17.100000000000001" customHeight="1">
      <c r="F58" s="4"/>
      <c r="G58" s="11"/>
      <c r="P58" s="283"/>
      <c r="Y58" s="4"/>
      <c r="Z58" s="4"/>
    </row>
    <row r="59" spans="6:26" ht="17.100000000000001" customHeight="1">
      <c r="F59" s="4"/>
      <c r="G59" s="11"/>
      <c r="P59" s="283"/>
      <c r="Y59" s="4"/>
      <c r="Z59" s="4"/>
    </row>
    <row r="60" spans="6:26" ht="17.100000000000001" customHeight="1">
      <c r="F60" s="4"/>
      <c r="G60" s="11"/>
      <c r="P60" s="276"/>
      <c r="Y60" s="4"/>
      <c r="Z60" s="4"/>
    </row>
    <row r="61" spans="6:26" ht="17.100000000000001" customHeight="1">
      <c r="F61" s="4"/>
      <c r="G61" s="11"/>
      <c r="P61" s="276"/>
      <c r="Y61" s="4"/>
      <c r="Z61" s="4"/>
    </row>
    <row r="62" spans="6:26" ht="17.100000000000001" customHeight="1">
      <c r="F62" s="4"/>
      <c r="G62" s="11"/>
      <c r="P62" s="276"/>
      <c r="Y62" s="4"/>
      <c r="Z62" s="4"/>
    </row>
    <row r="63" spans="6:26" ht="17.100000000000001" customHeight="1">
      <c r="F63" s="4"/>
      <c r="G63" s="11"/>
      <c r="P63" s="276"/>
      <c r="Y63" s="4"/>
      <c r="Z63" s="4"/>
    </row>
    <row r="64" spans="6:26" ht="17.100000000000001" customHeight="1">
      <c r="F64" s="4"/>
      <c r="G64" s="11"/>
      <c r="P64" s="276"/>
      <c r="Y64" s="4"/>
      <c r="Z64" s="4"/>
    </row>
    <row r="65" spans="6:26" ht="17.100000000000001" customHeight="1">
      <c r="F65" s="4"/>
      <c r="G65" s="11"/>
      <c r="P65" s="276"/>
      <c r="Y65" s="4"/>
      <c r="Z65" s="4"/>
    </row>
    <row r="66" spans="6:26" ht="17.100000000000001" customHeight="1">
      <c r="F66" s="4"/>
      <c r="G66" s="11"/>
      <c r="P66" s="276"/>
      <c r="Y66" s="4"/>
      <c r="Z66" s="4"/>
    </row>
    <row r="67" spans="6:26" ht="17.100000000000001" customHeight="1">
      <c r="F67" s="4"/>
      <c r="G67" s="11"/>
      <c r="P67" s="276"/>
      <c r="Y67" s="4"/>
      <c r="Z67" s="4"/>
    </row>
    <row r="68" spans="6:26" ht="17.100000000000001" customHeight="1">
      <c r="F68" s="4"/>
      <c r="G68" s="11"/>
      <c r="P68" s="276"/>
      <c r="Y68" s="4"/>
      <c r="Z68" s="4"/>
    </row>
    <row r="69" spans="6:26" ht="17.100000000000001" customHeight="1">
      <c r="F69" s="4"/>
      <c r="G69" s="11"/>
      <c r="P69" s="276"/>
      <c r="Y69" s="4"/>
      <c r="Z69" s="4"/>
    </row>
    <row r="70" spans="6:26" ht="17.100000000000001" customHeight="1">
      <c r="F70" s="4"/>
      <c r="G70" s="11"/>
      <c r="P70" s="276"/>
      <c r="Y70" s="4"/>
      <c r="Z70" s="4"/>
    </row>
    <row r="71" spans="6:26" ht="17.100000000000001" customHeight="1">
      <c r="F71" s="4"/>
      <c r="G71" s="11"/>
      <c r="P71" s="276"/>
      <c r="Y71" s="4"/>
      <c r="Z71" s="4"/>
    </row>
    <row r="72" spans="6:26" ht="17.100000000000001" customHeight="1">
      <c r="F72" s="4"/>
      <c r="G72" s="11"/>
      <c r="P72" s="276"/>
      <c r="Y72" s="4"/>
      <c r="Z72" s="4"/>
    </row>
    <row r="73" spans="6:26" ht="17.100000000000001" customHeight="1">
      <c r="F73" s="4"/>
      <c r="G73" s="11"/>
      <c r="Y73" s="4"/>
      <c r="Z73" s="4"/>
    </row>
    <row r="74" spans="6:26" ht="17.100000000000001" customHeight="1">
      <c r="F74" s="4"/>
      <c r="G74" s="11"/>
      <c r="Y74" s="4"/>
      <c r="Z74" s="4"/>
    </row>
    <row r="75" spans="6:26" ht="17.100000000000001" customHeight="1">
      <c r="F75" s="4"/>
      <c r="G75" s="11"/>
      <c r="Y75" s="4"/>
      <c r="Z75" s="4"/>
    </row>
    <row r="76" spans="6:26" ht="17.100000000000001" customHeight="1">
      <c r="F76" s="4"/>
      <c r="G76" s="11"/>
      <c r="Y76" s="4"/>
      <c r="Z76" s="4"/>
    </row>
    <row r="77" spans="6:26" ht="17.100000000000001" customHeight="1">
      <c r="F77" s="4"/>
      <c r="G77" s="11"/>
      <c r="Y77" s="4"/>
      <c r="Z77" s="4"/>
    </row>
    <row r="78" spans="6:26" ht="17.100000000000001" customHeight="1">
      <c r="F78" s="4"/>
      <c r="G78" s="11"/>
      <c r="Y78" s="4"/>
      <c r="Z78" s="4"/>
    </row>
    <row r="79" spans="6:26" ht="17.100000000000001" customHeight="1">
      <c r="F79" s="4"/>
      <c r="G79" s="11"/>
      <c r="Y79" s="4"/>
      <c r="Z79" s="4"/>
    </row>
    <row r="80" spans="6:26" ht="17.100000000000001" customHeight="1">
      <c r="F80" s="4"/>
      <c r="G80" s="11"/>
      <c r="Y80" s="4"/>
      <c r="Z80" s="4"/>
    </row>
    <row r="81" spans="6:26" ht="17.100000000000001" customHeight="1">
      <c r="F81" s="4"/>
      <c r="G81" s="11"/>
      <c r="Y81" s="4"/>
      <c r="Z81" s="4"/>
    </row>
  </sheetData>
  <mergeCells count="48">
    <mergeCell ref="B18:B20"/>
    <mergeCell ref="C18:D18"/>
    <mergeCell ref="C19:C20"/>
    <mergeCell ref="P21:P59"/>
    <mergeCell ref="B15:B17"/>
    <mergeCell ref="C15:D15"/>
    <mergeCell ref="I15:I17"/>
    <mergeCell ref="J15:K15"/>
    <mergeCell ref="C16:C17"/>
    <mergeCell ref="J16:J17"/>
    <mergeCell ref="B12:B14"/>
    <mergeCell ref="C12:D12"/>
    <mergeCell ref="I12:I14"/>
    <mergeCell ref="J12:K12"/>
    <mergeCell ref="C13:C14"/>
    <mergeCell ref="J13:J14"/>
    <mergeCell ref="B7:B11"/>
    <mergeCell ref="C7:D7"/>
    <mergeCell ref="I7:I11"/>
    <mergeCell ref="J7:K7"/>
    <mergeCell ref="C8:C11"/>
    <mergeCell ref="J8:J11"/>
    <mergeCell ref="L4:L5"/>
    <mergeCell ref="M4:M5"/>
    <mergeCell ref="N4:O4"/>
    <mergeCell ref="B6:D6"/>
    <mergeCell ref="I6:K6"/>
    <mergeCell ref="R6:S6"/>
    <mergeCell ref="R3:R4"/>
    <mergeCell ref="S3:S4"/>
    <mergeCell ref="T3:T4"/>
    <mergeCell ref="U3:U4"/>
    <mergeCell ref="V3:W3"/>
    <mergeCell ref="B4:B5"/>
    <mergeCell ref="C4:C5"/>
    <mergeCell ref="D4:D5"/>
    <mergeCell ref="E4:E5"/>
    <mergeCell ref="F4:F5"/>
    <mergeCell ref="B1:O1"/>
    <mergeCell ref="B2:D2"/>
    <mergeCell ref="N2:O2"/>
    <mergeCell ref="B3:H3"/>
    <mergeCell ref="I3:O3"/>
    <mergeCell ref="Q3:Q4"/>
    <mergeCell ref="G4:H4"/>
    <mergeCell ref="I4:I5"/>
    <mergeCell ref="J4:J5"/>
    <mergeCell ref="K4:K5"/>
  </mergeCells>
  <phoneticPr fontId="2" type="noConversion"/>
  <pageMargins left="0.19685039370078741" right="0.19685039370078741" top="0.19685039370078741" bottom="0.19685039370078741" header="0" footer="0"/>
  <pageSetup paperSize="9" scale="7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U23"/>
  <sheetViews>
    <sheetView view="pageBreakPreview" zoomScale="75" zoomScaleSheetLayoutView="75" workbookViewId="0">
      <selection activeCell="I6" sqref="I6:K6"/>
    </sheetView>
  </sheetViews>
  <sheetFormatPr defaultRowHeight="13.5"/>
  <cols>
    <col min="1" max="1" width="2.6640625" style="4" customWidth="1"/>
    <col min="2" max="3" width="9.77734375" style="4" customWidth="1"/>
    <col min="4" max="4" width="16" style="4" customWidth="1"/>
    <col min="5" max="5" width="13.44140625" style="17" customWidth="1"/>
    <col min="6" max="6" width="13.44140625" style="4" customWidth="1"/>
    <col min="7" max="7" width="13.44140625" style="4" bestFit="1" customWidth="1"/>
    <col min="8" max="8" width="8.88671875" style="4" bestFit="1" customWidth="1"/>
    <col min="9" max="9" width="23.77734375" style="4" customWidth="1"/>
    <col min="10" max="10" width="12.77734375" style="4" customWidth="1"/>
    <col min="11" max="12" width="3.77734375" style="4" customWidth="1"/>
    <col min="13" max="13" width="6.77734375" style="4" customWidth="1"/>
    <col min="14" max="15" width="3.77734375" style="4" customWidth="1"/>
    <col min="16" max="16" width="5.77734375" style="4" customWidth="1"/>
    <col min="17" max="17" width="3.77734375" style="4" customWidth="1"/>
    <col min="18" max="18" width="13.77734375" style="4" customWidth="1"/>
    <col min="19" max="20" width="8.88671875" style="4"/>
    <col min="21" max="21" width="11.5546875" style="4" bestFit="1" customWidth="1"/>
    <col min="22" max="23" width="8.88671875" style="4"/>
    <col min="24" max="24" width="11.5546875" style="4" bestFit="1" customWidth="1"/>
    <col min="25" max="16384" width="8.88671875" style="4"/>
  </cols>
  <sheetData>
    <row r="3" spans="2:20" s="56" customFormat="1" ht="32.1" customHeight="1" thickBot="1">
      <c r="B3" s="353" t="s">
        <v>137</v>
      </c>
      <c r="C3" s="353"/>
      <c r="D3" s="54"/>
      <c r="E3" s="55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5" t="s">
        <v>44</v>
      </c>
    </row>
    <row r="4" spans="2:20" ht="24.95" customHeight="1">
      <c r="B4" s="321" t="s">
        <v>2</v>
      </c>
      <c r="C4" s="322" t="s">
        <v>3</v>
      </c>
      <c r="D4" s="322" t="s">
        <v>4</v>
      </c>
      <c r="E4" s="354" t="s">
        <v>230</v>
      </c>
      <c r="F4" s="354" t="s">
        <v>231</v>
      </c>
      <c r="G4" s="322" t="s">
        <v>5</v>
      </c>
      <c r="H4" s="322"/>
      <c r="I4" s="347" t="s">
        <v>139</v>
      </c>
      <c r="J4" s="348"/>
      <c r="K4" s="348"/>
      <c r="L4" s="348"/>
      <c r="M4" s="348"/>
      <c r="N4" s="348"/>
      <c r="O4" s="348"/>
      <c r="P4" s="348"/>
      <c r="Q4" s="348"/>
      <c r="R4" s="349"/>
    </row>
    <row r="5" spans="2:20" ht="24.95" customHeight="1" thickBot="1">
      <c r="B5" s="327"/>
      <c r="C5" s="328"/>
      <c r="D5" s="328"/>
      <c r="E5" s="355"/>
      <c r="F5" s="355"/>
      <c r="G5" s="268" t="s">
        <v>6</v>
      </c>
      <c r="H5" s="268" t="s">
        <v>7</v>
      </c>
      <c r="I5" s="350"/>
      <c r="J5" s="351"/>
      <c r="K5" s="351"/>
      <c r="L5" s="351"/>
      <c r="M5" s="351"/>
      <c r="N5" s="351"/>
      <c r="O5" s="351"/>
      <c r="P5" s="351"/>
      <c r="Q5" s="351"/>
      <c r="R5" s="352"/>
    </row>
    <row r="6" spans="2:20" ht="24.95" customHeight="1" thickBot="1">
      <c r="B6" s="337" t="s">
        <v>8</v>
      </c>
      <c r="C6" s="338"/>
      <c r="D6" s="338"/>
      <c r="E6" s="204">
        <v>12505000</v>
      </c>
      <c r="F6" s="204">
        <f>F7+F11+F14+F16</f>
        <v>14511000</v>
      </c>
      <c r="G6" s="204">
        <f>F6-E6</f>
        <v>2006000</v>
      </c>
      <c r="H6" s="207">
        <f>F6/E6*100-100</f>
        <v>16.041583366653327</v>
      </c>
      <c r="I6" s="19"/>
      <c r="J6" s="20"/>
      <c r="K6" s="21"/>
      <c r="L6" s="21"/>
      <c r="M6" s="21"/>
      <c r="N6" s="21"/>
      <c r="O6" s="21"/>
      <c r="P6" s="21"/>
      <c r="Q6" s="21"/>
      <c r="R6" s="22">
        <f>R7+R11+R14+R16</f>
        <v>14511000</v>
      </c>
      <c r="S6" s="11"/>
      <c r="T6" s="11"/>
    </row>
    <row r="7" spans="2:20" ht="24.95" customHeight="1">
      <c r="B7" s="485" t="s">
        <v>533</v>
      </c>
      <c r="C7" s="563" t="s">
        <v>533</v>
      </c>
      <c r="D7" s="282" t="s">
        <v>10</v>
      </c>
      <c r="E7" s="205">
        <v>5000000</v>
      </c>
      <c r="F7" s="205">
        <f>SUM(F8:F10)</f>
        <v>1000000</v>
      </c>
      <c r="G7" s="206">
        <f>F7-E7</f>
        <v>-4000000</v>
      </c>
      <c r="H7" s="208">
        <f>F7/E7*100-100</f>
        <v>-80</v>
      </c>
      <c r="I7" s="66" t="s">
        <v>534</v>
      </c>
      <c r="J7" s="12"/>
      <c r="K7" s="12"/>
      <c r="L7" s="12"/>
      <c r="M7" s="12"/>
      <c r="N7" s="12"/>
      <c r="O7" s="12"/>
      <c r="P7" s="12"/>
      <c r="Q7" s="12"/>
      <c r="R7" s="13">
        <f>SUM(R8:R10)</f>
        <v>1000000</v>
      </c>
    </row>
    <row r="8" spans="2:20" ht="24.95" customHeight="1">
      <c r="B8" s="564"/>
      <c r="C8" s="565"/>
      <c r="D8" s="107" t="s">
        <v>535</v>
      </c>
      <c r="E8" s="10">
        <v>3000000</v>
      </c>
      <c r="F8" s="10">
        <f>R8</f>
        <v>500000</v>
      </c>
      <c r="G8" s="10">
        <f t="shared" ref="G8:G17" si="0">F8-E8</f>
        <v>-2500000</v>
      </c>
      <c r="H8" s="209">
        <f t="shared" ref="H8:H13" si="1">F8/E8*100-100</f>
        <v>-83.333333333333343</v>
      </c>
      <c r="I8" s="511" t="s">
        <v>536</v>
      </c>
      <c r="J8" s="226"/>
      <c r="K8" s="36"/>
      <c r="L8" s="36"/>
      <c r="M8" s="67"/>
      <c r="N8" s="49"/>
      <c r="O8" s="36"/>
      <c r="P8" s="37"/>
      <c r="Q8" s="36"/>
      <c r="R8" s="227">
        <v>500000</v>
      </c>
    </row>
    <row r="9" spans="2:20" ht="24.95" customHeight="1">
      <c r="B9" s="564"/>
      <c r="C9" s="565"/>
      <c r="D9" s="107" t="s">
        <v>537</v>
      </c>
      <c r="E9" s="10">
        <v>1000000</v>
      </c>
      <c r="F9" s="10">
        <f>R9</f>
        <v>300000</v>
      </c>
      <c r="G9" s="10">
        <f t="shared" si="0"/>
        <v>-700000</v>
      </c>
      <c r="H9" s="209">
        <f t="shared" si="1"/>
        <v>-70</v>
      </c>
      <c r="I9" s="511" t="s">
        <v>538</v>
      </c>
      <c r="J9" s="226"/>
      <c r="K9" s="36"/>
      <c r="L9" s="36"/>
      <c r="M9" s="67"/>
      <c r="N9" s="49"/>
      <c r="O9" s="36"/>
      <c r="P9" s="37"/>
      <c r="Q9" s="36"/>
      <c r="R9" s="227">
        <v>300000</v>
      </c>
    </row>
    <row r="10" spans="2:20" ht="24.95" customHeight="1">
      <c r="B10" s="483"/>
      <c r="C10" s="566"/>
      <c r="D10" s="107" t="s">
        <v>539</v>
      </c>
      <c r="E10" s="10">
        <v>1000000</v>
      </c>
      <c r="F10" s="10">
        <f>R10</f>
        <v>200000</v>
      </c>
      <c r="G10" s="10">
        <f t="shared" si="0"/>
        <v>-800000</v>
      </c>
      <c r="H10" s="209">
        <f t="shared" si="1"/>
        <v>-80</v>
      </c>
      <c r="I10" s="511" t="s">
        <v>540</v>
      </c>
      <c r="J10" s="226"/>
      <c r="K10" s="36"/>
      <c r="L10" s="36"/>
      <c r="M10" s="67"/>
      <c r="N10" s="49"/>
      <c r="O10" s="36"/>
      <c r="P10" s="37"/>
      <c r="Q10" s="36"/>
      <c r="R10" s="227">
        <v>200000</v>
      </c>
    </row>
    <row r="11" spans="2:20" ht="24.95" customHeight="1">
      <c r="B11" s="482" t="s">
        <v>541</v>
      </c>
      <c r="C11" s="481" t="s">
        <v>541</v>
      </c>
      <c r="D11" s="120" t="s">
        <v>10</v>
      </c>
      <c r="E11" s="8">
        <v>5000000</v>
      </c>
      <c r="F11" s="8">
        <f>R11</f>
        <v>1000000</v>
      </c>
      <c r="G11" s="10">
        <f t="shared" si="0"/>
        <v>-4000000</v>
      </c>
      <c r="H11" s="209">
        <f t="shared" si="1"/>
        <v>-80</v>
      </c>
      <c r="I11" s="1" t="s">
        <v>542</v>
      </c>
      <c r="J11" s="35"/>
      <c r="K11" s="36"/>
      <c r="L11" s="36"/>
      <c r="M11" s="37"/>
      <c r="N11" s="36"/>
      <c r="O11" s="36"/>
      <c r="P11" s="37"/>
      <c r="Q11" s="120"/>
      <c r="R11" s="15">
        <v>1000000</v>
      </c>
    </row>
    <row r="12" spans="2:20" ht="24.95" customHeight="1">
      <c r="B12" s="480"/>
      <c r="C12" s="479"/>
      <c r="D12" s="107" t="s">
        <v>542</v>
      </c>
      <c r="E12" s="8">
        <v>5000000</v>
      </c>
      <c r="F12" s="10">
        <f>R12</f>
        <v>1000000</v>
      </c>
      <c r="G12" s="10">
        <f t="shared" si="0"/>
        <v>-4000000</v>
      </c>
      <c r="H12" s="209">
        <f t="shared" si="1"/>
        <v>-80</v>
      </c>
      <c r="I12" s="1" t="s">
        <v>543</v>
      </c>
      <c r="J12" s="226"/>
      <c r="K12" s="36"/>
      <c r="L12" s="36"/>
      <c r="M12" s="67"/>
      <c r="N12" s="49"/>
      <c r="O12" s="36"/>
      <c r="P12" s="37"/>
      <c r="Q12" s="107"/>
      <c r="R12" s="227">
        <v>1000000</v>
      </c>
    </row>
    <row r="13" spans="2:20" ht="9.9499999999999993" hidden="1" customHeight="1">
      <c r="B13" s="98"/>
      <c r="C13" s="120"/>
      <c r="D13" s="120"/>
      <c r="E13" s="8"/>
      <c r="F13" s="10"/>
      <c r="G13" s="10">
        <f t="shared" si="0"/>
        <v>0</v>
      </c>
      <c r="H13" s="209" t="e">
        <f t="shared" si="1"/>
        <v>#DIV/0!</v>
      </c>
      <c r="I13" s="14"/>
      <c r="J13" s="35"/>
      <c r="K13" s="36"/>
      <c r="L13" s="36"/>
      <c r="M13" s="37"/>
      <c r="N13" s="36"/>
      <c r="O13" s="36"/>
      <c r="P13" s="37">
        <v>1</v>
      </c>
      <c r="Q13" s="120" t="s">
        <v>19</v>
      </c>
      <c r="R13" s="15"/>
    </row>
    <row r="14" spans="2:20" ht="24.95" customHeight="1">
      <c r="B14" s="65" t="s">
        <v>42</v>
      </c>
      <c r="C14" s="107" t="s">
        <v>42</v>
      </c>
      <c r="D14" s="120" t="s">
        <v>10</v>
      </c>
      <c r="E14" s="8">
        <v>2500205</v>
      </c>
      <c r="F14" s="8">
        <f>R14</f>
        <v>12505000</v>
      </c>
      <c r="G14" s="10">
        <f t="shared" si="0"/>
        <v>10004795</v>
      </c>
      <c r="H14" s="209">
        <v>0</v>
      </c>
      <c r="I14" s="1" t="s">
        <v>61</v>
      </c>
      <c r="J14" s="35"/>
      <c r="K14" s="36"/>
      <c r="L14" s="36"/>
      <c r="M14" s="37"/>
      <c r="N14" s="36"/>
      <c r="O14" s="36"/>
      <c r="P14" s="37"/>
      <c r="Q14" s="120"/>
      <c r="R14" s="15">
        <f>R15</f>
        <v>12505000</v>
      </c>
    </row>
    <row r="15" spans="2:20" ht="24.95" customHeight="1">
      <c r="B15" s="98"/>
      <c r="C15" s="120"/>
      <c r="D15" s="107" t="s">
        <v>60</v>
      </c>
      <c r="E15" s="8">
        <v>2500205</v>
      </c>
      <c r="F15" s="10">
        <f>R15</f>
        <v>12505000</v>
      </c>
      <c r="G15" s="10">
        <f t="shared" si="0"/>
        <v>10004795</v>
      </c>
      <c r="H15" s="209">
        <v>0</v>
      </c>
      <c r="I15" s="1" t="s">
        <v>544</v>
      </c>
      <c r="J15" s="35"/>
      <c r="K15" s="36"/>
      <c r="L15" s="36"/>
      <c r="M15" s="37"/>
      <c r="N15" s="36"/>
      <c r="O15" s="36"/>
      <c r="P15" s="37"/>
      <c r="Q15" s="120"/>
      <c r="R15" s="15">
        <v>12505000</v>
      </c>
    </row>
    <row r="16" spans="2:20" ht="24.95" customHeight="1">
      <c r="B16" s="65" t="s">
        <v>13</v>
      </c>
      <c r="C16" s="107" t="s">
        <v>13</v>
      </c>
      <c r="D16" s="120" t="s">
        <v>10</v>
      </c>
      <c r="E16" s="8">
        <v>4795</v>
      </c>
      <c r="F16" s="8">
        <f>SUM(F17:F17)</f>
        <v>6000</v>
      </c>
      <c r="G16" s="10">
        <f t="shared" si="0"/>
        <v>1205</v>
      </c>
      <c r="H16" s="209">
        <v>0</v>
      </c>
      <c r="I16" s="1" t="s">
        <v>414</v>
      </c>
      <c r="J16" s="35"/>
      <c r="K16" s="36"/>
      <c r="L16" s="36"/>
      <c r="M16" s="37"/>
      <c r="N16" s="36"/>
      <c r="O16" s="36"/>
      <c r="P16" s="37"/>
      <c r="Q16" s="120"/>
      <c r="R16" s="15">
        <f>SUM(R17:R17)</f>
        <v>6000</v>
      </c>
    </row>
    <row r="17" spans="2:21" ht="24.95" customHeight="1" thickBot="1">
      <c r="B17" s="43"/>
      <c r="C17" s="41"/>
      <c r="D17" s="68" t="s">
        <v>414</v>
      </c>
      <c r="E17" s="132">
        <v>4795</v>
      </c>
      <c r="F17" s="44">
        <f>R17</f>
        <v>6000</v>
      </c>
      <c r="G17" s="44">
        <f t="shared" si="0"/>
        <v>1205</v>
      </c>
      <c r="H17" s="210">
        <v>0</v>
      </c>
      <c r="I17" s="69" t="s">
        <v>413</v>
      </c>
      <c r="J17" s="45">
        <v>3000</v>
      </c>
      <c r="K17" s="247" t="s">
        <v>16</v>
      </c>
      <c r="L17" s="247" t="s">
        <v>17</v>
      </c>
      <c r="M17" s="46">
        <v>2</v>
      </c>
      <c r="N17" s="567" t="s">
        <v>20</v>
      </c>
      <c r="O17" s="46"/>
      <c r="P17" s="47"/>
      <c r="Q17" s="41"/>
      <c r="R17" s="48">
        <f>M17*J17</f>
        <v>6000</v>
      </c>
      <c r="S17" s="416"/>
    </row>
    <row r="18" spans="2:21">
      <c r="R18" s="11"/>
      <c r="U18" s="3"/>
    </row>
    <row r="19" spans="2:21">
      <c r="G19" s="219"/>
      <c r="U19" s="3"/>
    </row>
    <row r="20" spans="2:21">
      <c r="R20" s="416"/>
    </row>
    <row r="21" spans="2:21">
      <c r="G21" s="219"/>
    </row>
    <row r="23" spans="2:21">
      <c r="I23" s="219"/>
    </row>
  </sheetData>
  <mergeCells count="13">
    <mergeCell ref="G4:H4"/>
    <mergeCell ref="I4:R5"/>
    <mergeCell ref="B6:D6"/>
    <mergeCell ref="B7:B10"/>
    <mergeCell ref="C7:C10"/>
    <mergeCell ref="B11:B12"/>
    <mergeCell ref="C11:C12"/>
    <mergeCell ref="B3:C3"/>
    <mergeCell ref="B4:B5"/>
    <mergeCell ref="C4:C5"/>
    <mergeCell ref="D4:D5"/>
    <mergeCell ref="E4:E5"/>
    <mergeCell ref="F4:F5"/>
  </mergeCells>
  <phoneticPr fontId="2" type="noConversion"/>
  <printOptions horizontalCentered="1"/>
  <pageMargins left="0.15748031496062992" right="0.15748031496062992" top="0.19685039370078741" bottom="0.39370078740157483" header="0.19685039370078741" footer="0"/>
  <pageSetup paperSize="9" scale="75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2:Y21"/>
  <sheetViews>
    <sheetView view="pageBreakPreview" zoomScale="75" zoomScaleNormal="75" zoomScaleSheetLayoutView="75" workbookViewId="0">
      <selection activeCell="I6" sqref="I6:K6"/>
    </sheetView>
  </sheetViews>
  <sheetFormatPr defaultRowHeight="18" customHeight="1"/>
  <cols>
    <col min="1" max="1" width="1.77734375" style="4" customWidth="1"/>
    <col min="2" max="2" width="9.77734375" style="4" customWidth="1"/>
    <col min="3" max="3" width="12.33203125" style="4" customWidth="1"/>
    <col min="4" max="4" width="16.6640625" style="4" customWidth="1"/>
    <col min="5" max="5" width="12.33203125" style="4" customWidth="1"/>
    <col min="6" max="6" width="13.109375" style="4" customWidth="1"/>
    <col min="7" max="7" width="11.5546875" style="4" customWidth="1"/>
    <col min="8" max="8" width="9.44140625" style="25" customWidth="1"/>
    <col min="9" max="9" width="25" style="4" customWidth="1"/>
    <col min="10" max="10" width="13.21875" style="5" customWidth="1"/>
    <col min="11" max="12" width="3.77734375" style="5" customWidth="1"/>
    <col min="13" max="13" width="6.77734375" style="5" customWidth="1"/>
    <col min="14" max="15" width="3.77734375" style="5" customWidth="1"/>
    <col min="16" max="16" width="8.6640625" style="5" bestFit="1" customWidth="1"/>
    <col min="17" max="17" width="3.77734375" style="5" customWidth="1"/>
    <col min="18" max="18" width="2.44140625" style="5" bestFit="1" customWidth="1"/>
    <col min="19" max="19" width="4.109375" style="5" bestFit="1" customWidth="1"/>
    <col min="20" max="20" width="3.21875" style="5" bestFit="1" customWidth="1"/>
    <col min="21" max="21" width="13.77734375" style="4" customWidth="1"/>
    <col min="22" max="22" width="13.77734375" style="3" bestFit="1" customWidth="1"/>
    <col min="23" max="23" width="13.5546875" style="4" bestFit="1" customWidth="1"/>
    <col min="24" max="24" width="8.88671875" style="4"/>
    <col min="25" max="25" width="10.21875" style="4" bestFit="1" customWidth="1"/>
    <col min="26" max="16384" width="8.88671875" style="4"/>
  </cols>
  <sheetData>
    <row r="2" spans="2:25" s="56" customFormat="1" ht="32.1" customHeight="1" thickBot="1">
      <c r="B2" s="2" t="s">
        <v>138</v>
      </c>
      <c r="C2" s="54"/>
      <c r="D2" s="54"/>
      <c r="E2" s="486"/>
      <c r="F2" s="54"/>
      <c r="G2" s="486"/>
      <c r="H2" s="57"/>
      <c r="I2" s="3"/>
      <c r="J2" s="487"/>
      <c r="K2" s="54"/>
      <c r="L2" s="54"/>
      <c r="M2" s="54"/>
      <c r="N2" s="54"/>
      <c r="O2" s="54"/>
      <c r="P2" s="54"/>
      <c r="Q2" s="54"/>
      <c r="R2" s="54"/>
      <c r="S2" s="54"/>
      <c r="T2" s="54"/>
      <c r="U2" s="59" t="s">
        <v>44</v>
      </c>
      <c r="V2" s="60"/>
    </row>
    <row r="3" spans="2:25" ht="24.95" customHeight="1">
      <c r="B3" s="321" t="s">
        <v>2</v>
      </c>
      <c r="C3" s="322" t="s">
        <v>3</v>
      </c>
      <c r="D3" s="322" t="s">
        <v>4</v>
      </c>
      <c r="E3" s="354" t="s">
        <v>230</v>
      </c>
      <c r="F3" s="354" t="s">
        <v>231</v>
      </c>
      <c r="G3" s="322" t="s">
        <v>5</v>
      </c>
      <c r="H3" s="322"/>
      <c r="I3" s="359" t="s">
        <v>100</v>
      </c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36"/>
    </row>
    <row r="4" spans="2:25" ht="24.95" customHeight="1" thickBot="1">
      <c r="B4" s="327"/>
      <c r="C4" s="328"/>
      <c r="D4" s="328"/>
      <c r="E4" s="355"/>
      <c r="F4" s="355"/>
      <c r="G4" s="268" t="s">
        <v>6</v>
      </c>
      <c r="H4" s="26" t="s">
        <v>7</v>
      </c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60"/>
      <c r="W4" s="532"/>
    </row>
    <row r="5" spans="2:25" ht="24.95" customHeight="1" thickBot="1">
      <c r="B5" s="337" t="s">
        <v>8</v>
      </c>
      <c r="C5" s="361"/>
      <c r="D5" s="361"/>
      <c r="E5" s="211">
        <v>12505000</v>
      </c>
      <c r="F5" s="211">
        <f>U5</f>
        <v>14511000</v>
      </c>
      <c r="G5" s="204">
        <f>F5-E5</f>
        <v>2006000</v>
      </c>
      <c r="H5" s="207">
        <f>F5/E5*100-100</f>
        <v>16.041583366653327</v>
      </c>
      <c r="I5" s="73"/>
      <c r="J5" s="73"/>
      <c r="U5" s="74">
        <f>SUM(U6:U16)</f>
        <v>14511000</v>
      </c>
      <c r="W5" s="416"/>
    </row>
    <row r="6" spans="2:25" ht="24.95" customHeight="1">
      <c r="B6" s="568" t="s">
        <v>66</v>
      </c>
      <c r="C6" s="362" t="s">
        <v>10</v>
      </c>
      <c r="D6" s="363"/>
      <c r="E6" s="206">
        <v>0</v>
      </c>
      <c r="F6" s="206">
        <f>F7</f>
        <v>0</v>
      </c>
      <c r="G6" s="206">
        <f>F6-E6</f>
        <v>0</v>
      </c>
      <c r="H6" s="209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</row>
    <row r="7" spans="2:25" ht="24.95" customHeight="1">
      <c r="B7" s="569"/>
      <c r="C7" s="570" t="s">
        <v>67</v>
      </c>
      <c r="D7" s="107" t="s">
        <v>9</v>
      </c>
      <c r="E7" s="10">
        <v>0</v>
      </c>
      <c r="F7" s="10">
        <f>SUM(F8,F9,F10)</f>
        <v>0</v>
      </c>
      <c r="G7" s="10">
        <f>F7-E7</f>
        <v>0</v>
      </c>
      <c r="H7" s="209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/>
    </row>
    <row r="8" spans="2:25" ht="24.95" customHeight="1">
      <c r="B8" s="569"/>
      <c r="C8" s="571"/>
      <c r="D8" s="107" t="s">
        <v>67</v>
      </c>
      <c r="E8" s="10">
        <v>0</v>
      </c>
      <c r="F8" s="10">
        <v>0</v>
      </c>
      <c r="G8" s="10">
        <f>F8-E8</f>
        <v>0</v>
      </c>
      <c r="H8" s="209"/>
      <c r="I8" s="1"/>
      <c r="J8" s="35"/>
      <c r="K8" s="36"/>
      <c r="L8" s="36"/>
      <c r="M8" s="37"/>
      <c r="N8" s="36"/>
      <c r="O8" s="36"/>
      <c r="P8" s="37"/>
      <c r="Q8" s="120"/>
      <c r="R8" s="14"/>
      <c r="S8" s="14"/>
      <c r="T8" s="14"/>
      <c r="U8" s="15"/>
      <c r="W8" s="416"/>
    </row>
    <row r="9" spans="2:25" ht="24.95" customHeight="1">
      <c r="B9" s="569"/>
      <c r="C9" s="571"/>
      <c r="D9" s="107" t="s">
        <v>68</v>
      </c>
      <c r="E9" s="10">
        <v>0</v>
      </c>
      <c r="F9" s="10">
        <v>0</v>
      </c>
      <c r="G9" s="10">
        <f t="shared" ref="G9:G15" si="0">F9-E9</f>
        <v>0</v>
      </c>
      <c r="H9" s="209"/>
      <c r="I9" s="246"/>
      <c r="J9" s="35"/>
      <c r="K9" s="36"/>
      <c r="L9" s="36"/>
      <c r="M9" s="37"/>
      <c r="N9" s="36"/>
      <c r="O9" s="36"/>
      <c r="P9" s="37"/>
      <c r="Q9" s="120"/>
      <c r="R9" s="120"/>
      <c r="S9" s="120"/>
      <c r="T9" s="120"/>
      <c r="U9" s="15"/>
      <c r="Y9" s="478"/>
    </row>
    <row r="10" spans="2:25" ht="24.95" customHeight="1">
      <c r="B10" s="480"/>
      <c r="C10" s="479"/>
      <c r="D10" s="257" t="s">
        <v>70</v>
      </c>
      <c r="E10" s="10">
        <v>0</v>
      </c>
      <c r="F10" s="10">
        <v>0</v>
      </c>
      <c r="G10" s="10">
        <f t="shared" si="0"/>
        <v>0</v>
      </c>
      <c r="H10" s="209"/>
      <c r="I10" s="70"/>
      <c r="J10" s="35"/>
      <c r="K10" s="36"/>
      <c r="L10" s="36"/>
      <c r="M10" s="37"/>
      <c r="N10" s="36"/>
      <c r="O10" s="36"/>
      <c r="P10" s="37"/>
      <c r="Q10" s="120"/>
      <c r="R10" s="120"/>
      <c r="S10" s="120"/>
      <c r="T10" s="120"/>
      <c r="U10" s="15"/>
      <c r="Y10" s="478"/>
    </row>
    <row r="11" spans="2:25" ht="24.95" customHeight="1">
      <c r="B11" s="572" t="s">
        <v>408</v>
      </c>
      <c r="C11" s="573" t="s">
        <v>10</v>
      </c>
      <c r="D11" s="386"/>
      <c r="E11" s="10">
        <v>0</v>
      </c>
      <c r="F11" s="10">
        <f>F12</f>
        <v>0</v>
      </c>
      <c r="G11" s="10">
        <f t="shared" si="0"/>
        <v>0</v>
      </c>
      <c r="H11" s="209"/>
      <c r="I11" s="70"/>
      <c r="J11" s="35"/>
      <c r="K11" s="36"/>
      <c r="L11" s="36"/>
      <c r="M11" s="37"/>
      <c r="N11" s="36"/>
      <c r="O11" s="36"/>
      <c r="P11" s="37"/>
      <c r="Q11" s="120"/>
      <c r="R11" s="120"/>
      <c r="S11" s="120"/>
      <c r="T11" s="120"/>
      <c r="U11" s="15"/>
      <c r="Y11" s="478"/>
    </row>
    <row r="12" spans="2:25" ht="24.95" customHeight="1">
      <c r="B12" s="569"/>
      <c r="C12" s="570" t="s">
        <v>408</v>
      </c>
      <c r="D12" s="107" t="s">
        <v>69</v>
      </c>
      <c r="E12" s="10">
        <v>0</v>
      </c>
      <c r="F12" s="10">
        <f>F13</f>
        <v>0</v>
      </c>
      <c r="G12" s="10">
        <f t="shared" si="0"/>
        <v>0</v>
      </c>
      <c r="H12" s="209"/>
      <c r="I12" s="70"/>
      <c r="J12" s="35"/>
      <c r="K12" s="36"/>
      <c r="L12" s="36"/>
      <c r="M12" s="37"/>
      <c r="N12" s="36"/>
      <c r="O12" s="36"/>
      <c r="P12" s="37"/>
      <c r="Q12" s="120"/>
      <c r="R12" s="120"/>
      <c r="S12" s="120"/>
      <c r="T12" s="120"/>
      <c r="U12" s="15"/>
      <c r="Y12" s="478"/>
    </row>
    <row r="13" spans="2:25" ht="24.95" customHeight="1">
      <c r="B13" s="480"/>
      <c r="C13" s="479"/>
      <c r="D13" s="107" t="s">
        <v>545</v>
      </c>
      <c r="E13" s="10">
        <v>0</v>
      </c>
      <c r="F13" s="10">
        <v>0</v>
      </c>
      <c r="G13" s="10">
        <f t="shared" si="0"/>
        <v>0</v>
      </c>
      <c r="H13" s="209"/>
      <c r="I13" s="70"/>
      <c r="J13" s="35"/>
      <c r="K13" s="36"/>
      <c r="L13" s="36"/>
      <c r="M13" s="37"/>
      <c r="N13" s="36"/>
      <c r="O13" s="36"/>
      <c r="P13" s="37"/>
      <c r="Q13" s="120"/>
      <c r="R13" s="120"/>
      <c r="S13" s="120"/>
      <c r="T13" s="120"/>
      <c r="U13" s="15"/>
      <c r="Y13" s="478"/>
    </row>
    <row r="14" spans="2:25" ht="24.95" customHeight="1">
      <c r="B14" s="572" t="s">
        <v>42</v>
      </c>
      <c r="C14" s="573" t="s">
        <v>10</v>
      </c>
      <c r="D14" s="386"/>
      <c r="E14" s="10">
        <v>12505000</v>
      </c>
      <c r="F14" s="10">
        <f>F15</f>
        <v>14511000</v>
      </c>
      <c r="G14" s="10">
        <f t="shared" si="0"/>
        <v>2006000</v>
      </c>
      <c r="H14" s="209">
        <f t="shared" ref="H14:H16" si="1">F14/E14*100-100</f>
        <v>16.041583366653327</v>
      </c>
      <c r="I14" s="70"/>
      <c r="J14" s="35"/>
      <c r="K14" s="36"/>
      <c r="L14" s="36"/>
      <c r="M14" s="37"/>
      <c r="N14" s="36"/>
      <c r="O14" s="36"/>
      <c r="P14" s="37"/>
      <c r="Q14" s="120"/>
      <c r="R14" s="120"/>
      <c r="S14" s="120"/>
      <c r="T14" s="120"/>
      <c r="U14" s="15"/>
      <c r="Y14" s="478"/>
    </row>
    <row r="15" spans="2:25" ht="24.95" customHeight="1">
      <c r="B15" s="569"/>
      <c r="C15" s="570" t="s">
        <v>42</v>
      </c>
      <c r="D15" s="107" t="s">
        <v>69</v>
      </c>
      <c r="E15" s="10">
        <v>12505000</v>
      </c>
      <c r="F15" s="10">
        <f>F16</f>
        <v>14511000</v>
      </c>
      <c r="G15" s="10">
        <f t="shared" si="0"/>
        <v>2006000</v>
      </c>
      <c r="H15" s="209">
        <f t="shared" si="1"/>
        <v>16.041583366653327</v>
      </c>
      <c r="I15" s="246"/>
      <c r="J15" s="35"/>
      <c r="K15" s="36"/>
      <c r="L15" s="36"/>
      <c r="M15" s="37"/>
      <c r="N15" s="49"/>
      <c r="O15" s="49"/>
      <c r="P15" s="37"/>
      <c r="Q15" s="120"/>
      <c r="R15" s="120"/>
      <c r="S15" s="120"/>
      <c r="T15" s="120"/>
      <c r="U15" s="15"/>
    </row>
    <row r="16" spans="2:25" ht="24.95" customHeight="1" thickBot="1">
      <c r="B16" s="574"/>
      <c r="C16" s="575"/>
      <c r="D16" s="68" t="s">
        <v>546</v>
      </c>
      <c r="E16" s="132">
        <v>12505000</v>
      </c>
      <c r="F16" s="44">
        <f>U16</f>
        <v>14511000</v>
      </c>
      <c r="G16" s="44">
        <f>F16-E16</f>
        <v>2006000</v>
      </c>
      <c r="H16" s="210">
        <f t="shared" si="1"/>
        <v>16.041583366653327</v>
      </c>
      <c r="I16" s="69" t="s">
        <v>547</v>
      </c>
      <c r="J16" s="45">
        <v>14511000</v>
      </c>
      <c r="K16" s="247" t="s">
        <v>17</v>
      </c>
      <c r="L16" s="46">
        <v>1</v>
      </c>
      <c r="M16" s="247" t="s">
        <v>20</v>
      </c>
      <c r="N16" s="46"/>
      <c r="O16" s="46"/>
      <c r="P16" s="47"/>
      <c r="Q16" s="41"/>
      <c r="R16" s="41"/>
      <c r="S16" s="41"/>
      <c r="T16" s="41"/>
      <c r="U16" s="48">
        <f>J16*L16</f>
        <v>14511000</v>
      </c>
    </row>
    <row r="17" spans="6:7" ht="18" customHeight="1">
      <c r="G17" s="11"/>
    </row>
    <row r="21" spans="6:7" ht="18" customHeight="1">
      <c r="F21" s="11"/>
    </row>
  </sheetData>
  <mergeCells count="17">
    <mergeCell ref="B14:B16"/>
    <mergeCell ref="C14:D14"/>
    <mergeCell ref="C15:C16"/>
    <mergeCell ref="I3:U4"/>
    <mergeCell ref="B5:D5"/>
    <mergeCell ref="B6:B10"/>
    <mergeCell ref="C6:D6"/>
    <mergeCell ref="C7:C10"/>
    <mergeCell ref="B11:B13"/>
    <mergeCell ref="C11:D11"/>
    <mergeCell ref="C12:C13"/>
    <mergeCell ref="B3:B4"/>
    <mergeCell ref="C3:C4"/>
    <mergeCell ref="D3:D4"/>
    <mergeCell ref="E3:E4"/>
    <mergeCell ref="F3:F4"/>
    <mergeCell ref="G3:H3"/>
  </mergeCells>
  <phoneticPr fontId="2" type="noConversion"/>
  <printOptions horizontalCentered="1"/>
  <pageMargins left="0.15748031496062992" right="0.15748031496062992" top="0.19685039370078741" bottom="0.39370078740157483" header="0.19685039370078741" footer="0"/>
  <pageSetup paperSize="9" scale="68" fitToHeight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3:Z21"/>
  <sheetViews>
    <sheetView view="pageBreakPreview" zoomScale="75" zoomScaleSheetLayoutView="75" workbookViewId="0">
      <selection activeCell="O35" sqref="O35"/>
    </sheetView>
  </sheetViews>
  <sheetFormatPr defaultRowHeight="13.5"/>
  <cols>
    <col min="1" max="1" width="2.6640625" style="4" customWidth="1"/>
    <col min="2" max="3" width="9.77734375" style="4" customWidth="1"/>
    <col min="4" max="4" width="16" style="4" customWidth="1"/>
    <col min="5" max="5" width="14.21875" style="17" customWidth="1"/>
    <col min="6" max="6" width="14.21875" style="4" customWidth="1"/>
    <col min="7" max="7" width="16" style="4" bestFit="1" customWidth="1"/>
    <col min="8" max="8" width="9.33203125" style="4" customWidth="1"/>
    <col min="9" max="9" width="23.77734375" style="4" customWidth="1"/>
    <col min="10" max="10" width="12.77734375" style="4" customWidth="1"/>
    <col min="11" max="12" width="3.77734375" style="4" customWidth="1"/>
    <col min="13" max="13" width="6.77734375" style="4" customWidth="1"/>
    <col min="14" max="15" width="3.77734375" style="4" customWidth="1"/>
    <col min="16" max="16" width="5.77734375" style="4" customWidth="1"/>
    <col min="17" max="17" width="3.77734375" style="4" customWidth="1"/>
    <col min="18" max="18" width="13.77734375" style="4" customWidth="1"/>
    <col min="19" max="20" width="8.88671875" style="4"/>
    <col min="21" max="21" width="5.77734375" style="4" customWidth="1"/>
    <col min="22" max="22" width="2.109375" style="4" customWidth="1"/>
    <col min="23" max="23" width="5.77734375" style="4" customWidth="1"/>
    <col min="24" max="24" width="11.5546875" style="4" bestFit="1" customWidth="1"/>
    <col min="25" max="25" width="8.88671875" style="4"/>
    <col min="26" max="26" width="9.5546875" style="4" bestFit="1" customWidth="1"/>
    <col min="27" max="16384" width="8.88671875" style="4"/>
  </cols>
  <sheetData>
    <row r="3" spans="2:26" s="56" customFormat="1" ht="32.1" customHeight="1" thickBot="1">
      <c r="B3" s="353" t="s">
        <v>137</v>
      </c>
      <c r="C3" s="353"/>
      <c r="D3" s="54"/>
      <c r="E3" s="55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5" t="s">
        <v>44</v>
      </c>
    </row>
    <row r="4" spans="2:26" ht="24.95" customHeight="1">
      <c r="B4" s="321" t="s">
        <v>2</v>
      </c>
      <c r="C4" s="322" t="s">
        <v>3</v>
      </c>
      <c r="D4" s="322" t="s">
        <v>4</v>
      </c>
      <c r="E4" s="354" t="s">
        <v>202</v>
      </c>
      <c r="F4" s="354" t="s">
        <v>203</v>
      </c>
      <c r="G4" s="322" t="s">
        <v>5</v>
      </c>
      <c r="H4" s="322"/>
      <c r="I4" s="347" t="s">
        <v>139</v>
      </c>
      <c r="J4" s="348"/>
      <c r="K4" s="348"/>
      <c r="L4" s="348"/>
      <c r="M4" s="348"/>
      <c r="N4" s="348"/>
      <c r="O4" s="348"/>
      <c r="P4" s="348"/>
      <c r="Q4" s="348"/>
      <c r="R4" s="349"/>
    </row>
    <row r="5" spans="2:26" ht="24.95" customHeight="1" thickBot="1">
      <c r="B5" s="327"/>
      <c r="C5" s="328"/>
      <c r="D5" s="328"/>
      <c r="E5" s="355"/>
      <c r="F5" s="355"/>
      <c r="G5" s="268" t="s">
        <v>6</v>
      </c>
      <c r="H5" s="268" t="s">
        <v>7</v>
      </c>
      <c r="I5" s="350"/>
      <c r="J5" s="351"/>
      <c r="K5" s="351"/>
      <c r="L5" s="351"/>
      <c r="M5" s="351"/>
      <c r="N5" s="351"/>
      <c r="O5" s="351"/>
      <c r="P5" s="351"/>
      <c r="Q5" s="351"/>
      <c r="R5" s="352"/>
    </row>
    <row r="6" spans="2:26" ht="24.95" customHeight="1" thickBot="1">
      <c r="B6" s="337" t="s">
        <v>8</v>
      </c>
      <c r="C6" s="338"/>
      <c r="D6" s="338"/>
      <c r="E6" s="204">
        <f>SUM(E7+E10+E12)</f>
        <v>158888000</v>
      </c>
      <c r="F6" s="204">
        <f>SUM(F7+F10+F12)</f>
        <v>157608000</v>
      </c>
      <c r="G6" s="211">
        <f>SUM(G7+G10+G12)</f>
        <v>-1280000</v>
      </c>
      <c r="H6" s="207">
        <f>F6/E6*100-100</f>
        <v>-0.80559891244146797</v>
      </c>
      <c r="I6" s="19"/>
      <c r="J6" s="20"/>
      <c r="K6" s="21"/>
      <c r="L6" s="21"/>
      <c r="M6" s="21"/>
      <c r="N6" s="21"/>
      <c r="O6" s="21"/>
      <c r="P6" s="21"/>
      <c r="Q6" s="21"/>
      <c r="R6" s="22">
        <f>R7+R10+R12</f>
        <v>157608000</v>
      </c>
      <c r="S6" s="11"/>
      <c r="T6" s="11"/>
    </row>
    <row r="7" spans="2:26" ht="24.95" customHeight="1">
      <c r="B7" s="485" t="s">
        <v>478</v>
      </c>
      <c r="C7" s="484" t="s">
        <v>478</v>
      </c>
      <c r="D7" s="282" t="s">
        <v>10</v>
      </c>
      <c r="E7" s="205">
        <f>E8</f>
        <v>145979240</v>
      </c>
      <c r="F7" s="205">
        <f>SUM(F8:F8)</f>
        <v>140767200</v>
      </c>
      <c r="G7" s="206">
        <f>F7-E7</f>
        <v>-5212040</v>
      </c>
      <c r="H7" s="208">
        <f>F7/E7*100-100</f>
        <v>-3.570398092221879</v>
      </c>
      <c r="I7" s="66" t="s">
        <v>479</v>
      </c>
      <c r="J7" s="12"/>
      <c r="K7" s="12"/>
      <c r="L7" s="12"/>
      <c r="M7" s="12"/>
      <c r="N7" s="12"/>
      <c r="O7" s="12"/>
      <c r="P7" s="12"/>
      <c r="Q7" s="12"/>
      <c r="R7" s="13">
        <f>R8</f>
        <v>140767200</v>
      </c>
      <c r="S7" s="219" t="s">
        <v>480</v>
      </c>
      <c r="U7" s="219" t="s">
        <v>481</v>
      </c>
      <c r="V7" s="219" t="s">
        <v>482</v>
      </c>
      <c r="W7" s="219" t="s">
        <v>483</v>
      </c>
      <c r="X7" s="4">
        <f>27*7</f>
        <v>189</v>
      </c>
      <c r="Y7" s="4">
        <f>X7*9800</f>
        <v>1852200</v>
      </c>
    </row>
    <row r="8" spans="2:26" ht="24.95" customHeight="1">
      <c r="B8" s="483"/>
      <c r="C8" s="479"/>
      <c r="D8" s="107" t="s">
        <v>479</v>
      </c>
      <c r="E8" s="10">
        <v>145979240</v>
      </c>
      <c r="F8" s="10">
        <f>R8</f>
        <v>140767200</v>
      </c>
      <c r="G8" s="10">
        <f t="shared" ref="G8:G11" si="0">F8-E8</f>
        <v>-5212040</v>
      </c>
      <c r="H8" s="209">
        <f t="shared" ref="H8:H13" si="1">F8/E8*100-100</f>
        <v>-3.570398092221879</v>
      </c>
      <c r="I8" s="1" t="s">
        <v>484</v>
      </c>
      <c r="J8" s="226">
        <v>11730600</v>
      </c>
      <c r="K8" s="36" t="s">
        <v>16</v>
      </c>
      <c r="L8" s="36" t="s">
        <v>17</v>
      </c>
      <c r="M8" s="67">
        <v>12</v>
      </c>
      <c r="N8" s="49" t="s">
        <v>20</v>
      </c>
      <c r="O8" s="36"/>
      <c r="P8" s="37"/>
      <c r="Q8" s="36"/>
      <c r="R8" s="227">
        <f>J8*M8</f>
        <v>140767200</v>
      </c>
      <c r="U8" s="219" t="s">
        <v>485</v>
      </c>
      <c r="V8" s="219" t="s">
        <v>482</v>
      </c>
      <c r="W8" s="219" t="s">
        <v>486</v>
      </c>
      <c r="X8" s="4">
        <f>36*28</f>
        <v>1008</v>
      </c>
      <c r="Y8" s="4">
        <f>X8*9800</f>
        <v>9878400</v>
      </c>
      <c r="Z8" s="4">
        <f>Y8+Y7</f>
        <v>11730600</v>
      </c>
    </row>
    <row r="9" spans="2:26" ht="9.9499999999999993" hidden="1" customHeight="1">
      <c r="B9" s="98"/>
      <c r="C9" s="120"/>
      <c r="D9" s="120"/>
      <c r="E9" s="8"/>
      <c r="F9" s="10"/>
      <c r="G9" s="10">
        <f t="shared" si="0"/>
        <v>0</v>
      </c>
      <c r="H9" s="209" t="e">
        <f t="shared" si="1"/>
        <v>#DIV/0!</v>
      </c>
      <c r="I9" s="14"/>
      <c r="J9" s="35">
        <v>1300000</v>
      </c>
      <c r="K9" s="36" t="s">
        <v>16</v>
      </c>
      <c r="L9" s="36" t="s">
        <v>17</v>
      </c>
      <c r="M9" s="37">
        <v>10</v>
      </c>
      <c r="N9" s="36" t="s">
        <v>18</v>
      </c>
      <c r="O9" s="36" t="s">
        <v>17</v>
      </c>
      <c r="P9" s="37">
        <v>1</v>
      </c>
      <c r="Q9" s="120" t="s">
        <v>19</v>
      </c>
      <c r="R9" s="15"/>
      <c r="U9" s="219" t="s">
        <v>485</v>
      </c>
      <c r="V9" s="219" t="s">
        <v>482</v>
      </c>
      <c r="W9" s="219" t="s">
        <v>486</v>
      </c>
    </row>
    <row r="10" spans="2:26" ht="24.95" customHeight="1">
      <c r="B10" s="65" t="s">
        <v>42</v>
      </c>
      <c r="C10" s="107" t="s">
        <v>42</v>
      </c>
      <c r="D10" s="120" t="s">
        <v>10</v>
      </c>
      <c r="E10" s="8">
        <f>E11</f>
        <v>12888574</v>
      </c>
      <c r="F10" s="8">
        <f>SUM(F11:F11)</f>
        <v>16500000</v>
      </c>
      <c r="G10" s="10">
        <f t="shared" si="0"/>
        <v>3611426</v>
      </c>
      <c r="H10" s="209">
        <f t="shared" si="1"/>
        <v>28.020369049361079</v>
      </c>
      <c r="I10" s="1" t="s">
        <v>61</v>
      </c>
      <c r="J10" s="35"/>
      <c r="K10" s="36"/>
      <c r="L10" s="36"/>
      <c r="M10" s="37"/>
      <c r="N10" s="36"/>
      <c r="O10" s="36"/>
      <c r="P10" s="37"/>
      <c r="Q10" s="120"/>
      <c r="R10" s="15">
        <f>SUM(R11:R11)</f>
        <v>16500000</v>
      </c>
      <c r="X10" s="4">
        <f>SUM(X7:X8)</f>
        <v>1197</v>
      </c>
    </row>
    <row r="11" spans="2:26" ht="24.95" customHeight="1">
      <c r="B11" s="98"/>
      <c r="C11" s="120"/>
      <c r="D11" s="107" t="s">
        <v>60</v>
      </c>
      <c r="E11" s="8">
        <v>12888574</v>
      </c>
      <c r="F11" s="10">
        <f>R11</f>
        <v>16500000</v>
      </c>
      <c r="G11" s="10">
        <f t="shared" si="0"/>
        <v>3611426</v>
      </c>
      <c r="H11" s="209">
        <f t="shared" si="1"/>
        <v>28.020369049361079</v>
      </c>
      <c r="I11" s="1" t="s">
        <v>157</v>
      </c>
      <c r="J11" s="35">
        <v>16500000</v>
      </c>
      <c r="K11" s="36" t="s">
        <v>16</v>
      </c>
      <c r="L11" s="36" t="s">
        <v>17</v>
      </c>
      <c r="M11" s="37">
        <v>1</v>
      </c>
      <c r="N11" s="36" t="s">
        <v>20</v>
      </c>
      <c r="O11" s="36"/>
      <c r="P11" s="37"/>
      <c r="Q11" s="120"/>
      <c r="R11" s="15">
        <f>J11*M11</f>
        <v>16500000</v>
      </c>
    </row>
    <row r="12" spans="2:26" ht="24.95" customHeight="1">
      <c r="B12" s="98" t="s">
        <v>13</v>
      </c>
      <c r="C12" s="120" t="s">
        <v>13</v>
      </c>
      <c r="D12" s="120" t="s">
        <v>10</v>
      </c>
      <c r="E12" s="8">
        <f>E13</f>
        <v>20186</v>
      </c>
      <c r="F12" s="8">
        <f>F13+F14</f>
        <v>340800</v>
      </c>
      <c r="G12" s="10">
        <f>F12-E12</f>
        <v>320614</v>
      </c>
      <c r="H12" s="209">
        <f t="shared" si="1"/>
        <v>1588.2988209650255</v>
      </c>
      <c r="I12" s="14" t="s">
        <v>13</v>
      </c>
      <c r="J12" s="35" t="s">
        <v>1</v>
      </c>
      <c r="K12" s="36" t="s">
        <v>1</v>
      </c>
      <c r="L12" s="36" t="s">
        <v>1</v>
      </c>
      <c r="M12" s="37" t="s">
        <v>1</v>
      </c>
      <c r="N12" s="36" t="s">
        <v>1</v>
      </c>
      <c r="O12" s="36" t="s">
        <v>1</v>
      </c>
      <c r="P12" s="37" t="s">
        <v>1</v>
      </c>
      <c r="Q12" s="120" t="s">
        <v>1</v>
      </c>
      <c r="R12" s="15">
        <f>SUM(R13:R14)</f>
        <v>340800</v>
      </c>
      <c r="U12" s="3"/>
    </row>
    <row r="13" spans="2:26" ht="24.95" customHeight="1">
      <c r="B13" s="255"/>
      <c r="C13" s="256"/>
      <c r="D13" s="257" t="s">
        <v>13</v>
      </c>
      <c r="E13" s="258">
        <v>20186</v>
      </c>
      <c r="F13" s="258">
        <f>R13</f>
        <v>320800</v>
      </c>
      <c r="G13" s="10">
        <f t="shared" ref="G13:G14" si="2">F13-E13</f>
        <v>300614</v>
      </c>
      <c r="H13" s="209">
        <f t="shared" si="1"/>
        <v>1489.220251659566</v>
      </c>
      <c r="I13" s="1" t="s">
        <v>487</v>
      </c>
      <c r="J13" s="262">
        <v>320800</v>
      </c>
      <c r="K13" s="49" t="s">
        <v>16</v>
      </c>
      <c r="L13" s="49" t="s">
        <v>17</v>
      </c>
      <c r="M13" s="37">
        <v>1</v>
      </c>
      <c r="N13" s="49" t="s">
        <v>20</v>
      </c>
      <c r="O13" s="263"/>
      <c r="P13" s="265"/>
      <c r="Q13" s="256"/>
      <c r="R13" s="266">
        <v>320800</v>
      </c>
      <c r="U13" s="3"/>
    </row>
    <row r="14" spans="2:26" ht="24.95" customHeight="1" thickBot="1">
      <c r="B14" s="43"/>
      <c r="C14" s="41"/>
      <c r="D14" s="68" t="s">
        <v>53</v>
      </c>
      <c r="E14" s="132"/>
      <c r="F14" s="132">
        <f>R14</f>
        <v>20000</v>
      </c>
      <c r="G14" s="44">
        <f t="shared" si="2"/>
        <v>20000</v>
      </c>
      <c r="H14" s="210">
        <v>0</v>
      </c>
      <c r="I14" s="69" t="s">
        <v>341</v>
      </c>
      <c r="J14" s="45">
        <v>10000</v>
      </c>
      <c r="K14" s="46" t="s">
        <v>16</v>
      </c>
      <c r="L14" s="46" t="s">
        <v>17</v>
      </c>
      <c r="M14" s="47">
        <v>2</v>
      </c>
      <c r="N14" s="46" t="s">
        <v>20</v>
      </c>
      <c r="O14" s="46"/>
      <c r="P14" s="47"/>
      <c r="Q14" s="41"/>
      <c r="R14" s="48">
        <f>J14*M14</f>
        <v>20000</v>
      </c>
      <c r="U14" s="3"/>
    </row>
    <row r="15" spans="2:26">
      <c r="U15" s="3"/>
    </row>
    <row r="16" spans="2:26">
      <c r="G16" s="219"/>
      <c r="U16" s="3"/>
    </row>
    <row r="17" spans="7:18">
      <c r="R17" s="416"/>
    </row>
    <row r="18" spans="7:18">
      <c r="G18" s="219"/>
    </row>
    <row r="21" spans="7:18">
      <c r="I21" s="138"/>
    </row>
  </sheetData>
  <mergeCells count="11">
    <mergeCell ref="G4:H4"/>
    <mergeCell ref="I4:R5"/>
    <mergeCell ref="B6:D6"/>
    <mergeCell ref="B7:B8"/>
    <mergeCell ref="C7:C8"/>
    <mergeCell ref="B3:C3"/>
    <mergeCell ref="B4:B5"/>
    <mergeCell ref="C4:C5"/>
    <mergeCell ref="D4:D5"/>
    <mergeCell ref="E4:E5"/>
    <mergeCell ref="F4:F5"/>
  </mergeCells>
  <phoneticPr fontId="2" type="noConversion"/>
  <printOptions horizontalCentered="1"/>
  <pageMargins left="0.15748031496062992" right="0.15748031496062992" top="0.19685039370078741" bottom="0.39370078740157483" header="0.19685039370078741" footer="0"/>
  <pageSetup paperSize="9" scale="73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Z74"/>
  <sheetViews>
    <sheetView view="pageBreakPreview" topLeftCell="A55" zoomScale="75" zoomScaleNormal="75" zoomScaleSheetLayoutView="75" workbookViewId="0">
      <selection activeCell="O35" sqref="O35"/>
    </sheetView>
  </sheetViews>
  <sheetFormatPr defaultRowHeight="18" customHeight="1"/>
  <cols>
    <col min="1" max="1" width="1.77734375" style="4" customWidth="1"/>
    <col min="2" max="2" width="9.77734375" style="4" customWidth="1"/>
    <col min="3" max="3" width="12.33203125" style="4" customWidth="1"/>
    <col min="4" max="4" width="16.6640625" style="4" customWidth="1"/>
    <col min="5" max="6" width="14.88671875" style="4" customWidth="1"/>
    <col min="7" max="7" width="12.44140625" style="4" customWidth="1"/>
    <col min="8" max="8" width="9.5546875" style="25" customWidth="1"/>
    <col min="9" max="9" width="25" style="4" customWidth="1"/>
    <col min="10" max="10" width="13.21875" style="5" customWidth="1"/>
    <col min="11" max="12" width="3.77734375" style="5" customWidth="1"/>
    <col min="13" max="13" width="6.77734375" style="5" customWidth="1"/>
    <col min="14" max="15" width="3.77734375" style="5" customWidth="1"/>
    <col min="16" max="16" width="8.6640625" style="5" bestFit="1" customWidth="1"/>
    <col min="17" max="17" width="3.77734375" style="5" customWidth="1"/>
    <col min="18" max="18" width="2.44140625" style="5" bestFit="1" customWidth="1"/>
    <col min="19" max="19" width="4.109375" style="5" bestFit="1" customWidth="1"/>
    <col min="20" max="20" width="3.21875" style="5" bestFit="1" customWidth="1"/>
    <col min="21" max="21" width="13.77734375" style="4" customWidth="1"/>
    <col min="22" max="22" width="9.6640625" style="3" customWidth="1"/>
    <col min="23" max="23" width="2.44140625" style="4" customWidth="1"/>
    <col min="24" max="24" width="5.6640625" style="4" customWidth="1"/>
    <col min="25" max="26" width="11.5546875" style="4" bestFit="1" customWidth="1"/>
    <col min="27" max="16384" width="8.88671875" style="4"/>
  </cols>
  <sheetData>
    <row r="1" spans="2:26" ht="18" customHeight="1">
      <c r="U1" s="531">
        <f>U5-'세입 (4)'!F6</f>
        <v>0</v>
      </c>
    </row>
    <row r="2" spans="2:26" s="56" customFormat="1" ht="32.1" customHeight="1" thickBot="1">
      <c r="B2" s="2" t="s">
        <v>138</v>
      </c>
      <c r="C2" s="54"/>
      <c r="D2" s="54"/>
      <c r="E2" s="486"/>
      <c r="F2" s="230"/>
      <c r="G2" s="486"/>
      <c r="H2" s="57"/>
      <c r="I2" s="3"/>
      <c r="J2" s="487"/>
      <c r="K2" s="54"/>
      <c r="L2" s="54"/>
      <c r="M2" s="54"/>
      <c r="N2" s="54"/>
      <c r="O2" s="54"/>
      <c r="P2" s="54"/>
      <c r="Q2" s="54"/>
      <c r="R2" s="54"/>
      <c r="S2" s="54"/>
      <c r="T2" s="54"/>
      <c r="U2" s="59" t="s">
        <v>44</v>
      </c>
      <c r="V2" s="60"/>
    </row>
    <row r="3" spans="2:26" ht="22.5" customHeight="1">
      <c r="B3" s="321" t="s">
        <v>2</v>
      </c>
      <c r="C3" s="322" t="s">
        <v>3</v>
      </c>
      <c r="D3" s="322" t="s">
        <v>4</v>
      </c>
      <c r="E3" s="354" t="s">
        <v>488</v>
      </c>
      <c r="F3" s="364" t="s">
        <v>489</v>
      </c>
      <c r="G3" s="322" t="s">
        <v>5</v>
      </c>
      <c r="H3" s="322"/>
      <c r="I3" s="359" t="s">
        <v>100</v>
      </c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36"/>
    </row>
    <row r="4" spans="2:26" ht="22.5" customHeight="1" thickBot="1">
      <c r="B4" s="327"/>
      <c r="C4" s="328"/>
      <c r="D4" s="328"/>
      <c r="E4" s="488"/>
      <c r="F4" s="365"/>
      <c r="G4" s="268" t="s">
        <v>6</v>
      </c>
      <c r="H4" s="26" t="s">
        <v>7</v>
      </c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60"/>
      <c r="W4" s="532"/>
    </row>
    <row r="5" spans="2:26" ht="24.95" customHeight="1" thickBot="1">
      <c r="B5" s="337" t="s">
        <v>8</v>
      </c>
      <c r="C5" s="361"/>
      <c r="D5" s="361"/>
      <c r="E5" s="211">
        <f>+E6+E41+E45+E65</f>
        <v>158888000</v>
      </c>
      <c r="F5" s="211">
        <f>+F6+F41+F45+F65+F68</f>
        <v>157608000</v>
      </c>
      <c r="G5" s="211">
        <f>SUM(G6,G41,G45,)</f>
        <v>-1586610</v>
      </c>
      <c r="H5" s="489">
        <f>F5/E5*100-100</f>
        <v>-0.80559891244146797</v>
      </c>
      <c r="I5" s="73"/>
      <c r="J5" s="73"/>
      <c r="U5" s="74">
        <f>U6+U41+U45+U65+U68</f>
        <v>157608000</v>
      </c>
      <c r="W5" s="416"/>
    </row>
    <row r="6" spans="2:26" ht="24.95" customHeight="1">
      <c r="B6" s="99" t="s">
        <v>180</v>
      </c>
      <c r="C6" s="362" t="s">
        <v>10</v>
      </c>
      <c r="D6" s="363"/>
      <c r="E6" s="206">
        <f>+E7+E22</f>
        <v>151138320</v>
      </c>
      <c r="F6" s="206">
        <f>+F7+F22</f>
        <v>142526710</v>
      </c>
      <c r="G6" s="206">
        <f>F6-E6</f>
        <v>-8611610</v>
      </c>
      <c r="H6" s="208">
        <f>F6/E6*100-100</f>
        <v>-5.6978336136063916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>
        <f>SUM(U7,,U22)</f>
        <v>142526710</v>
      </c>
      <c r="Z6" s="138">
        <f>'세출 (4)'!F5-'세입 (4)'!F6</f>
        <v>0</v>
      </c>
    </row>
    <row r="7" spans="2:26" ht="24.95" customHeight="1">
      <c r="B7" s="98"/>
      <c r="C7" s="120" t="s">
        <v>14</v>
      </c>
      <c r="D7" s="107" t="s">
        <v>9</v>
      </c>
      <c r="E7" s="10">
        <f>E8+E10+E12+E18</f>
        <v>148358320</v>
      </c>
      <c r="F7" s="10">
        <f>SUM(F8,,F10,F12,F18)</f>
        <v>131166710</v>
      </c>
      <c r="G7" s="10">
        <f>F7-E7</f>
        <v>-17191610</v>
      </c>
      <c r="H7" s="209">
        <f>F7/E7*100-100</f>
        <v>-11.587897463384593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>
        <f>SUM(U8,U10,U12,U18)</f>
        <v>131166710</v>
      </c>
    </row>
    <row r="8" spans="2:26" ht="24.95" customHeight="1">
      <c r="B8" s="98"/>
      <c r="C8" s="120"/>
      <c r="D8" s="107" t="s">
        <v>422</v>
      </c>
      <c r="E8" s="10">
        <v>125367480</v>
      </c>
      <c r="F8" s="10">
        <f>U8</f>
        <v>109227840</v>
      </c>
      <c r="G8" s="10">
        <f>F8-E8</f>
        <v>-16139640</v>
      </c>
      <c r="H8" s="209">
        <f>F8/E8*100-100</f>
        <v>-12.873864897021136</v>
      </c>
      <c r="I8" s="1" t="s">
        <v>181</v>
      </c>
      <c r="J8" s="35"/>
      <c r="K8" s="36"/>
      <c r="L8" s="36"/>
      <c r="M8" s="37"/>
      <c r="N8" s="36"/>
      <c r="O8" s="36"/>
      <c r="P8" s="37"/>
      <c r="Q8" s="120"/>
      <c r="R8" s="14"/>
      <c r="S8" s="14"/>
      <c r="T8" s="14"/>
      <c r="U8" s="15">
        <f>SUM(U9:U9)</f>
        <v>109227840</v>
      </c>
      <c r="V8" s="533" t="s">
        <v>490</v>
      </c>
      <c r="W8" s="534"/>
      <c r="X8" s="535" t="s">
        <v>491</v>
      </c>
      <c r="Y8" s="535" t="s">
        <v>492</v>
      </c>
    </row>
    <row r="9" spans="2:26" ht="24.95" customHeight="1">
      <c r="B9" s="98"/>
      <c r="C9" s="120"/>
      <c r="D9" s="120"/>
      <c r="E9" s="10"/>
      <c r="F9" s="10"/>
      <c r="G9" s="10"/>
      <c r="H9" s="209"/>
      <c r="I9" s="246" t="s">
        <v>493</v>
      </c>
      <c r="J9" s="35">
        <v>9102320</v>
      </c>
      <c r="K9" s="36" t="s">
        <v>16</v>
      </c>
      <c r="L9" s="36" t="s">
        <v>17</v>
      </c>
      <c r="M9" s="37">
        <v>12</v>
      </c>
      <c r="N9" s="49" t="s">
        <v>18</v>
      </c>
      <c r="O9" s="49"/>
      <c r="P9" s="37"/>
      <c r="Q9" s="120"/>
      <c r="R9" s="120"/>
      <c r="S9" s="120"/>
      <c r="T9" s="120"/>
      <c r="U9" s="15">
        <f>J9*M9</f>
        <v>109227840</v>
      </c>
      <c r="V9" s="533">
        <v>1197</v>
      </c>
      <c r="W9" s="535" t="s">
        <v>494</v>
      </c>
      <c r="X9" s="536">
        <v>7525</v>
      </c>
      <c r="Y9" s="537">
        <f>ROUNDDOWN(X9*V9,-1)</f>
        <v>9007420</v>
      </c>
    </row>
    <row r="10" spans="2:26" ht="24.95" customHeight="1">
      <c r="B10" s="98"/>
      <c r="C10" s="120"/>
      <c r="D10" s="120" t="s">
        <v>37</v>
      </c>
      <c r="E10" s="10">
        <v>10447290</v>
      </c>
      <c r="F10" s="10">
        <f>U10</f>
        <v>9102320</v>
      </c>
      <c r="G10" s="10">
        <f>F10-E10</f>
        <v>-1344970</v>
      </c>
      <c r="H10" s="209">
        <f>F10/E10*100-100</f>
        <v>-12.873864897021136</v>
      </c>
      <c r="I10" s="14" t="s">
        <v>37</v>
      </c>
      <c r="J10" s="35"/>
      <c r="K10" s="36"/>
      <c r="L10" s="36"/>
      <c r="M10" s="37"/>
      <c r="N10" s="36"/>
      <c r="O10" s="36"/>
      <c r="P10" s="37"/>
      <c r="Q10" s="120"/>
      <c r="R10" s="120"/>
      <c r="S10" s="120"/>
      <c r="T10" s="120"/>
      <c r="U10" s="15">
        <f>U11</f>
        <v>9102320</v>
      </c>
    </row>
    <row r="11" spans="2:26" ht="24.95" customHeight="1">
      <c r="B11" s="98"/>
      <c r="C11" s="120"/>
      <c r="D11" s="120"/>
      <c r="E11" s="10"/>
      <c r="F11" s="10"/>
      <c r="G11" s="10">
        <f t="shared" ref="G11:G19" si="0">F11-E11</f>
        <v>0</v>
      </c>
      <c r="H11" s="209"/>
      <c r="I11" s="1" t="s">
        <v>141</v>
      </c>
      <c r="J11" s="35">
        <f>+U8</f>
        <v>109227840</v>
      </c>
      <c r="K11" s="36" t="s">
        <v>16</v>
      </c>
      <c r="L11" s="49" t="s">
        <v>65</v>
      </c>
      <c r="M11" s="37">
        <v>12</v>
      </c>
      <c r="N11" s="36" t="s">
        <v>18</v>
      </c>
      <c r="O11" s="36"/>
      <c r="P11" s="37"/>
      <c r="Q11" s="120"/>
      <c r="R11" s="120"/>
      <c r="S11" s="120"/>
      <c r="T11" s="120"/>
      <c r="U11" s="15">
        <f>ROUNDDOWN(J11/M11,-1)</f>
        <v>9102320</v>
      </c>
      <c r="V11" s="538"/>
    </row>
    <row r="12" spans="2:26" ht="24.95" customHeight="1">
      <c r="B12" s="98"/>
      <c r="C12" s="120"/>
      <c r="D12" s="120" t="s">
        <v>35</v>
      </c>
      <c r="E12" s="10">
        <v>11543550</v>
      </c>
      <c r="F12" s="10">
        <f>U12</f>
        <v>10086550</v>
      </c>
      <c r="G12" s="10">
        <f>F12-E12</f>
        <v>-1457000</v>
      </c>
      <c r="H12" s="209">
        <f>F12/E12*100-100</f>
        <v>-12.621767134027223</v>
      </c>
      <c r="I12" s="14" t="s">
        <v>38</v>
      </c>
      <c r="J12" s="35"/>
      <c r="K12" s="36"/>
      <c r="L12" s="36"/>
      <c r="M12" s="37"/>
      <c r="N12" s="36"/>
      <c r="O12" s="36"/>
      <c r="P12" s="37"/>
      <c r="Q12" s="120"/>
      <c r="R12" s="120"/>
      <c r="S12" s="120"/>
      <c r="T12" s="120"/>
      <c r="U12" s="15">
        <f>SUM(U13:U17)</f>
        <v>10086550</v>
      </c>
      <c r="W12" s="11"/>
    </row>
    <row r="13" spans="2:26" ht="24.95" customHeight="1">
      <c r="B13" s="98"/>
      <c r="C13" s="120"/>
      <c r="D13" s="120"/>
      <c r="E13" s="10"/>
      <c r="F13" s="10"/>
      <c r="G13" s="10">
        <f t="shared" si="0"/>
        <v>0</v>
      </c>
      <c r="H13" s="209"/>
      <c r="I13" s="1" t="s">
        <v>142</v>
      </c>
      <c r="J13" s="35">
        <f>J11</f>
        <v>109227840</v>
      </c>
      <c r="K13" s="36" t="s">
        <v>16</v>
      </c>
      <c r="L13" s="36" t="s">
        <v>17</v>
      </c>
      <c r="M13" s="50">
        <v>4.5</v>
      </c>
      <c r="N13" s="36" t="s">
        <v>7</v>
      </c>
      <c r="O13" s="36"/>
      <c r="P13" s="37"/>
      <c r="Q13" s="120"/>
      <c r="R13" s="120"/>
      <c r="S13" s="120"/>
      <c r="T13" s="120"/>
      <c r="U13" s="51">
        <f>ROUNDDOWN((J13*M13/100),-1)</f>
        <v>4915250</v>
      </c>
    </row>
    <row r="14" spans="2:26" ht="24.95" customHeight="1">
      <c r="B14" s="98"/>
      <c r="C14" s="120"/>
      <c r="D14" s="120"/>
      <c r="E14" s="10"/>
      <c r="F14" s="10"/>
      <c r="G14" s="10">
        <f t="shared" si="0"/>
        <v>0</v>
      </c>
      <c r="H14" s="209"/>
      <c r="I14" s="1" t="s">
        <v>143</v>
      </c>
      <c r="J14" s="35">
        <f>J11</f>
        <v>109227840</v>
      </c>
      <c r="K14" s="36" t="s">
        <v>16</v>
      </c>
      <c r="L14" s="36" t="s">
        <v>17</v>
      </c>
      <c r="M14" s="52">
        <v>3.06</v>
      </c>
      <c r="N14" s="36" t="s">
        <v>7</v>
      </c>
      <c r="O14" s="36"/>
      <c r="P14" s="37"/>
      <c r="Q14" s="120"/>
      <c r="R14" s="120"/>
      <c r="S14" s="120"/>
      <c r="T14" s="120"/>
      <c r="U14" s="15">
        <f>ROUNDDOWN((J14*M14/100),-1)</f>
        <v>3342370</v>
      </c>
    </row>
    <row r="15" spans="2:26" ht="24.95" customHeight="1">
      <c r="B15" s="98"/>
      <c r="C15" s="120"/>
      <c r="D15" s="120"/>
      <c r="E15" s="10"/>
      <c r="F15" s="10"/>
      <c r="G15" s="10">
        <f t="shared" si="0"/>
        <v>0</v>
      </c>
      <c r="H15" s="209"/>
      <c r="I15" s="1" t="s">
        <v>144</v>
      </c>
      <c r="J15" s="35">
        <f>U14</f>
        <v>3342370</v>
      </c>
      <c r="K15" s="36" t="s">
        <v>16</v>
      </c>
      <c r="L15" s="36" t="s">
        <v>17</v>
      </c>
      <c r="M15" s="52">
        <v>6.55</v>
      </c>
      <c r="N15" s="36" t="s">
        <v>7</v>
      </c>
      <c r="O15" s="36"/>
      <c r="P15" s="37"/>
      <c r="Q15" s="120"/>
      <c r="R15" s="120"/>
      <c r="S15" s="120"/>
      <c r="T15" s="120"/>
      <c r="U15" s="15">
        <f>ROUNDDOWN((J15*M15/100),-1)</f>
        <v>218920</v>
      </c>
    </row>
    <row r="16" spans="2:26" ht="24.95" customHeight="1">
      <c r="B16" s="98"/>
      <c r="C16" s="120"/>
      <c r="D16" s="120"/>
      <c r="E16" s="10"/>
      <c r="F16" s="10"/>
      <c r="G16" s="10">
        <f t="shared" si="0"/>
        <v>0</v>
      </c>
      <c r="H16" s="209"/>
      <c r="I16" s="1" t="s">
        <v>146</v>
      </c>
      <c r="J16" s="35">
        <f>J11</f>
        <v>109227840</v>
      </c>
      <c r="K16" s="36" t="s">
        <v>16</v>
      </c>
      <c r="L16" s="36" t="s">
        <v>17</v>
      </c>
      <c r="M16" s="52">
        <v>0.9</v>
      </c>
      <c r="N16" s="36" t="s">
        <v>7</v>
      </c>
      <c r="O16" s="36"/>
      <c r="P16" s="37"/>
      <c r="Q16" s="120"/>
      <c r="R16" s="120"/>
      <c r="S16" s="120"/>
      <c r="T16" s="120"/>
      <c r="U16" s="15">
        <f>ROUNDDOWN((J16*M16/100),-1)</f>
        <v>983050</v>
      </c>
    </row>
    <row r="17" spans="2:21" ht="24.95" customHeight="1">
      <c r="B17" s="98"/>
      <c r="C17" s="120"/>
      <c r="D17" s="120"/>
      <c r="E17" s="10"/>
      <c r="F17" s="10"/>
      <c r="G17" s="10">
        <f t="shared" si="0"/>
        <v>0</v>
      </c>
      <c r="H17" s="209"/>
      <c r="I17" s="1" t="s">
        <v>145</v>
      </c>
      <c r="J17" s="35">
        <f>J11</f>
        <v>109227840</v>
      </c>
      <c r="K17" s="36" t="s">
        <v>16</v>
      </c>
      <c r="L17" s="36" t="s">
        <v>17</v>
      </c>
      <c r="M17" s="52">
        <v>0.57399999999999995</v>
      </c>
      <c r="N17" s="36" t="s">
        <v>7</v>
      </c>
      <c r="O17" s="36"/>
      <c r="P17" s="37"/>
      <c r="Q17" s="120"/>
      <c r="R17" s="120"/>
      <c r="S17" s="120"/>
      <c r="T17" s="120"/>
      <c r="U17" s="15">
        <f>ROUNDDOWN((J17*M17/100),-1)</f>
        <v>626960</v>
      </c>
    </row>
    <row r="18" spans="2:21" ht="24.95" customHeight="1">
      <c r="B18" s="98"/>
      <c r="C18" s="120"/>
      <c r="D18" s="120" t="s">
        <v>22</v>
      </c>
      <c r="E18" s="10">
        <v>1000000</v>
      </c>
      <c r="F18" s="10">
        <f>U18</f>
        <v>2750000</v>
      </c>
      <c r="G18" s="10">
        <f>F18-E18</f>
        <v>1750000</v>
      </c>
      <c r="H18" s="209">
        <f>F18/E18*100-100</f>
        <v>175</v>
      </c>
      <c r="I18" s="14" t="s">
        <v>22</v>
      </c>
      <c r="J18" s="42"/>
      <c r="K18" s="36"/>
      <c r="L18" s="36"/>
      <c r="M18" s="37"/>
      <c r="N18" s="49"/>
      <c r="O18" s="36"/>
      <c r="P18" s="37"/>
      <c r="Q18" s="120"/>
      <c r="R18" s="120"/>
      <c r="S18" s="120"/>
      <c r="T18" s="120"/>
      <c r="U18" s="15">
        <f>SUM(U19:U21)</f>
        <v>2750000</v>
      </c>
    </row>
    <row r="19" spans="2:21" ht="24.95" customHeight="1">
      <c r="B19" s="98"/>
      <c r="C19" s="120"/>
      <c r="D19" s="120"/>
      <c r="E19" s="10"/>
      <c r="F19" s="10"/>
      <c r="G19" s="10">
        <f t="shared" si="0"/>
        <v>0</v>
      </c>
      <c r="H19" s="209"/>
      <c r="I19" s="1" t="s">
        <v>495</v>
      </c>
      <c r="J19" s="35">
        <v>100000</v>
      </c>
      <c r="K19" s="36" t="s">
        <v>16</v>
      </c>
      <c r="L19" s="36" t="s">
        <v>17</v>
      </c>
      <c r="M19" s="67">
        <v>10</v>
      </c>
      <c r="N19" s="49" t="s">
        <v>19</v>
      </c>
      <c r="O19" s="237" t="s">
        <v>17</v>
      </c>
      <c r="P19" s="505">
        <v>2</v>
      </c>
      <c r="Q19" s="237" t="s">
        <v>20</v>
      </c>
      <c r="R19" s="120"/>
      <c r="S19" s="120"/>
      <c r="T19" s="120"/>
      <c r="U19" s="15">
        <f>P19*M19*J19</f>
        <v>2000000</v>
      </c>
    </row>
    <row r="20" spans="2:21" ht="24.95" customHeight="1">
      <c r="B20" s="98"/>
      <c r="C20" s="120"/>
      <c r="D20" s="120"/>
      <c r="E20" s="10"/>
      <c r="F20" s="10"/>
      <c r="G20" s="10"/>
      <c r="H20" s="209"/>
      <c r="I20" s="1" t="s">
        <v>430</v>
      </c>
      <c r="J20" s="35">
        <v>100000</v>
      </c>
      <c r="K20" s="36" t="s">
        <v>16</v>
      </c>
      <c r="L20" s="36" t="s">
        <v>17</v>
      </c>
      <c r="M20" s="67">
        <v>4</v>
      </c>
      <c r="N20" s="49" t="s">
        <v>20</v>
      </c>
      <c r="O20" s="237"/>
      <c r="P20" s="505"/>
      <c r="Q20" s="237"/>
      <c r="R20" s="120"/>
      <c r="S20" s="120"/>
      <c r="T20" s="120"/>
      <c r="U20" s="15">
        <f>M20*J20</f>
        <v>400000</v>
      </c>
    </row>
    <row r="21" spans="2:21" ht="24.95" customHeight="1">
      <c r="B21" s="98"/>
      <c r="C21" s="120"/>
      <c r="D21" s="120"/>
      <c r="E21" s="10"/>
      <c r="F21" s="10"/>
      <c r="G21" s="10"/>
      <c r="H21" s="209"/>
      <c r="I21" s="1" t="s">
        <v>496</v>
      </c>
      <c r="J21" s="35">
        <v>35000</v>
      </c>
      <c r="K21" s="49" t="s">
        <v>16</v>
      </c>
      <c r="L21" s="36" t="s">
        <v>17</v>
      </c>
      <c r="M21" s="67">
        <v>10</v>
      </c>
      <c r="N21" s="49" t="s">
        <v>19</v>
      </c>
      <c r="O21" s="237"/>
      <c r="P21" s="505"/>
      <c r="Q21" s="237"/>
      <c r="R21" s="120"/>
      <c r="S21" s="120"/>
      <c r="T21" s="120"/>
      <c r="U21" s="15">
        <f>M21*J21</f>
        <v>350000</v>
      </c>
    </row>
    <row r="22" spans="2:21" ht="24.95" customHeight="1">
      <c r="B22" s="98" t="s">
        <v>1</v>
      </c>
      <c r="C22" s="120" t="s">
        <v>26</v>
      </c>
      <c r="D22" s="107" t="s">
        <v>9</v>
      </c>
      <c r="E22" s="10">
        <f>E23+E24+E28+E32+E36</f>
        <v>2780000</v>
      </c>
      <c r="F22" s="10">
        <f>F23+F24+F28+F32+F36+F38</f>
        <v>11360000</v>
      </c>
      <c r="G22" s="10">
        <f t="shared" ref="G22:G61" si="1">F22-E22</f>
        <v>8580000</v>
      </c>
      <c r="H22" s="209">
        <f t="shared" ref="H22:H47" si="2">F22/E22*100-100</f>
        <v>308.6330935251799</v>
      </c>
      <c r="I22" s="1" t="s">
        <v>26</v>
      </c>
      <c r="J22" s="35" t="s">
        <v>1</v>
      </c>
      <c r="K22" s="36" t="s">
        <v>1</v>
      </c>
      <c r="L22" s="36" t="s">
        <v>1</v>
      </c>
      <c r="M22" s="37" t="s">
        <v>1</v>
      </c>
      <c r="N22" s="36" t="s">
        <v>1</v>
      </c>
      <c r="O22" s="36" t="s">
        <v>1</v>
      </c>
      <c r="P22" s="37" t="s">
        <v>1</v>
      </c>
      <c r="Q22" s="120" t="s">
        <v>1</v>
      </c>
      <c r="R22" s="120"/>
      <c r="S22" s="120"/>
      <c r="T22" s="120"/>
      <c r="U22" s="15">
        <f>+U23+U24+U28+U32+U36+U38</f>
        <v>11360000</v>
      </c>
    </row>
    <row r="23" spans="2:21" ht="24.95" customHeight="1">
      <c r="B23" s="98"/>
      <c r="C23" s="120"/>
      <c r="D23" s="107" t="s">
        <v>39</v>
      </c>
      <c r="E23" s="10">
        <v>200000</v>
      </c>
      <c r="F23" s="10">
        <f>U23</f>
        <v>400000</v>
      </c>
      <c r="G23" s="10">
        <f t="shared" si="1"/>
        <v>200000</v>
      </c>
      <c r="H23" s="209">
        <f t="shared" si="2"/>
        <v>100</v>
      </c>
      <c r="I23" s="14" t="s">
        <v>39</v>
      </c>
      <c r="J23" s="35">
        <v>100000</v>
      </c>
      <c r="K23" s="36" t="s">
        <v>16</v>
      </c>
      <c r="L23" s="36" t="s">
        <v>17</v>
      </c>
      <c r="M23" s="37">
        <v>4</v>
      </c>
      <c r="N23" s="36" t="s">
        <v>20</v>
      </c>
      <c r="O23" s="36" t="s">
        <v>1</v>
      </c>
      <c r="P23" s="37" t="s">
        <v>1</v>
      </c>
      <c r="Q23" s="120" t="s">
        <v>1</v>
      </c>
      <c r="R23" s="120"/>
      <c r="S23" s="120"/>
      <c r="T23" s="120"/>
      <c r="U23" s="15">
        <f>+J23*M23</f>
        <v>400000</v>
      </c>
    </row>
    <row r="24" spans="2:21" ht="24.75" customHeight="1">
      <c r="B24" s="98"/>
      <c r="C24" s="120"/>
      <c r="D24" s="120" t="s">
        <v>28</v>
      </c>
      <c r="E24" s="10">
        <v>1680000</v>
      </c>
      <c r="F24" s="10">
        <f>U24</f>
        <v>3400000</v>
      </c>
      <c r="G24" s="10">
        <f t="shared" si="1"/>
        <v>1720000</v>
      </c>
      <c r="H24" s="209">
        <f t="shared" si="2"/>
        <v>102.38095238095238</v>
      </c>
      <c r="I24" s="14" t="s">
        <v>40</v>
      </c>
      <c r="J24" s="42"/>
      <c r="K24" s="36"/>
      <c r="L24" s="36"/>
      <c r="M24" s="37"/>
      <c r="N24" s="49"/>
      <c r="O24" s="36"/>
      <c r="P24" s="37"/>
      <c r="Q24" s="120"/>
      <c r="R24" s="120"/>
      <c r="S24" s="120"/>
      <c r="T24" s="120"/>
      <c r="U24" s="15">
        <f>SUM(U25:U27)</f>
        <v>3400000</v>
      </c>
    </row>
    <row r="25" spans="2:21" ht="24.95" customHeight="1">
      <c r="B25" s="98"/>
      <c r="C25" s="120"/>
      <c r="D25" s="120"/>
      <c r="E25" s="10"/>
      <c r="F25" s="10"/>
      <c r="G25" s="10"/>
      <c r="H25" s="209"/>
      <c r="I25" s="1" t="s">
        <v>432</v>
      </c>
      <c r="J25" s="42">
        <v>200000</v>
      </c>
      <c r="K25" s="36" t="s">
        <v>16</v>
      </c>
      <c r="L25" s="36" t="s">
        <v>17</v>
      </c>
      <c r="M25" s="37">
        <v>4</v>
      </c>
      <c r="N25" s="49" t="s">
        <v>20</v>
      </c>
      <c r="O25" s="36"/>
      <c r="P25" s="37"/>
      <c r="Q25" s="120"/>
      <c r="R25" s="120"/>
      <c r="S25" s="120"/>
      <c r="T25" s="120"/>
      <c r="U25" s="15">
        <f>M25*J25</f>
        <v>800000</v>
      </c>
    </row>
    <row r="26" spans="2:21" ht="24.95" customHeight="1">
      <c r="B26" s="98"/>
      <c r="C26" s="120"/>
      <c r="D26" s="120"/>
      <c r="E26" s="10"/>
      <c r="F26" s="10"/>
      <c r="G26" s="10"/>
      <c r="H26" s="209"/>
      <c r="I26" s="1" t="s">
        <v>497</v>
      </c>
      <c r="J26" s="42">
        <v>150000</v>
      </c>
      <c r="K26" s="36" t="s">
        <v>16</v>
      </c>
      <c r="L26" s="36" t="s">
        <v>17</v>
      </c>
      <c r="M26" s="37">
        <v>12</v>
      </c>
      <c r="N26" s="49" t="s">
        <v>20</v>
      </c>
      <c r="O26" s="36"/>
      <c r="P26" s="37"/>
      <c r="Q26" s="120"/>
      <c r="R26" s="120"/>
      <c r="S26" s="120"/>
      <c r="T26" s="120"/>
      <c r="U26" s="15">
        <f>M26*J26</f>
        <v>1800000</v>
      </c>
    </row>
    <row r="27" spans="2:21" ht="24.95" customHeight="1">
      <c r="B27" s="98"/>
      <c r="C27" s="120"/>
      <c r="D27" s="120"/>
      <c r="E27" s="10"/>
      <c r="F27" s="10"/>
      <c r="G27" s="10"/>
      <c r="H27" s="209"/>
      <c r="I27" s="1" t="s">
        <v>498</v>
      </c>
      <c r="J27" s="42">
        <v>200000</v>
      </c>
      <c r="K27" s="36" t="s">
        <v>16</v>
      </c>
      <c r="L27" s="36"/>
      <c r="M27" s="37">
        <v>4</v>
      </c>
      <c r="N27" s="49" t="s">
        <v>20</v>
      </c>
      <c r="O27" s="36"/>
      <c r="P27" s="37"/>
      <c r="Q27" s="120"/>
      <c r="R27" s="120"/>
      <c r="S27" s="120"/>
      <c r="T27" s="120"/>
      <c r="U27" s="15">
        <f>M27*J27</f>
        <v>800000</v>
      </c>
    </row>
    <row r="28" spans="2:21" ht="24.95" customHeight="1">
      <c r="B28" s="98"/>
      <c r="C28" s="120"/>
      <c r="D28" s="120" t="s">
        <v>36</v>
      </c>
      <c r="E28" s="10">
        <v>100000</v>
      </c>
      <c r="F28" s="10">
        <f>U28</f>
        <v>1500000</v>
      </c>
      <c r="G28" s="10">
        <f t="shared" si="1"/>
        <v>1400000</v>
      </c>
      <c r="H28" s="209">
        <f t="shared" si="2"/>
        <v>1400</v>
      </c>
      <c r="I28" s="1" t="s">
        <v>36</v>
      </c>
      <c r="J28" s="42"/>
      <c r="K28" s="36"/>
      <c r="L28" s="36"/>
      <c r="M28" s="37"/>
      <c r="N28" s="49"/>
      <c r="O28" s="36"/>
      <c r="P28" s="37"/>
      <c r="Q28" s="120"/>
      <c r="R28" s="120"/>
      <c r="S28" s="120"/>
      <c r="T28" s="120"/>
      <c r="U28" s="15">
        <f>SUM(U29:U31)</f>
        <v>1500000</v>
      </c>
    </row>
    <row r="29" spans="2:21" ht="24.95" customHeight="1">
      <c r="B29" s="98"/>
      <c r="C29" s="120"/>
      <c r="D29" s="120"/>
      <c r="E29" s="10"/>
      <c r="F29" s="10"/>
      <c r="G29" s="10"/>
      <c r="H29" s="209"/>
      <c r="I29" s="1" t="s">
        <v>499</v>
      </c>
      <c r="J29" s="42">
        <v>50000</v>
      </c>
      <c r="K29" s="49" t="s">
        <v>16</v>
      </c>
      <c r="L29" s="36" t="s">
        <v>17</v>
      </c>
      <c r="M29" s="37">
        <v>2</v>
      </c>
      <c r="N29" s="49" t="s">
        <v>20</v>
      </c>
      <c r="O29" s="36"/>
      <c r="P29" s="37"/>
      <c r="Q29" s="120"/>
      <c r="R29" s="120"/>
      <c r="S29" s="120"/>
      <c r="T29" s="120"/>
      <c r="U29" s="15">
        <f>J29*M29</f>
        <v>100000</v>
      </c>
    </row>
    <row r="30" spans="2:21" ht="24.95" customHeight="1">
      <c r="B30" s="98"/>
      <c r="C30" s="120"/>
      <c r="D30" s="120"/>
      <c r="E30" s="10"/>
      <c r="F30" s="10"/>
      <c r="G30" s="10"/>
      <c r="H30" s="209"/>
      <c r="I30" s="1" t="s">
        <v>500</v>
      </c>
      <c r="J30" s="42">
        <v>50000</v>
      </c>
      <c r="K30" s="36" t="s">
        <v>16</v>
      </c>
      <c r="L30" s="36" t="s">
        <v>17</v>
      </c>
      <c r="M30" s="37">
        <v>12</v>
      </c>
      <c r="N30" s="49" t="s">
        <v>20</v>
      </c>
      <c r="O30" s="36"/>
      <c r="P30" s="37"/>
      <c r="Q30" s="120"/>
      <c r="R30" s="120"/>
      <c r="S30" s="120"/>
      <c r="T30" s="120"/>
      <c r="U30" s="15">
        <f>M30*J30</f>
        <v>600000</v>
      </c>
    </row>
    <row r="31" spans="2:21" ht="24.95" customHeight="1">
      <c r="B31" s="98"/>
      <c r="C31" s="120"/>
      <c r="D31" s="120"/>
      <c r="E31" s="10"/>
      <c r="F31" s="10"/>
      <c r="G31" s="10"/>
      <c r="H31" s="209"/>
      <c r="I31" s="1" t="s">
        <v>436</v>
      </c>
      <c r="J31" s="42">
        <v>200000</v>
      </c>
      <c r="K31" s="36" t="s">
        <v>16</v>
      </c>
      <c r="L31" s="36" t="s">
        <v>17</v>
      </c>
      <c r="M31" s="37">
        <v>4</v>
      </c>
      <c r="N31" s="49" t="s">
        <v>224</v>
      </c>
      <c r="O31" s="36"/>
      <c r="P31" s="37"/>
      <c r="Q31" s="120"/>
      <c r="R31" s="120"/>
      <c r="S31" s="120"/>
      <c r="T31" s="120"/>
      <c r="U31" s="15">
        <f>M31*J31</f>
        <v>800000</v>
      </c>
    </row>
    <row r="32" spans="2:21" ht="24.95" customHeight="1">
      <c r="B32" s="98"/>
      <c r="C32" s="120"/>
      <c r="D32" s="120" t="s">
        <v>30</v>
      </c>
      <c r="E32" s="10">
        <v>800000</v>
      </c>
      <c r="F32" s="10">
        <f>U32</f>
        <v>1300000</v>
      </c>
      <c r="G32" s="10">
        <f t="shared" si="1"/>
        <v>500000</v>
      </c>
      <c r="H32" s="209">
        <f t="shared" si="2"/>
        <v>62.5</v>
      </c>
      <c r="I32" s="14" t="s">
        <v>30</v>
      </c>
      <c r="J32" s="42"/>
      <c r="K32" s="36"/>
      <c r="L32" s="36"/>
      <c r="M32" s="37"/>
      <c r="N32" s="49"/>
      <c r="O32" s="36"/>
      <c r="P32" s="37"/>
      <c r="Q32" s="120"/>
      <c r="R32" s="120"/>
      <c r="S32" s="120"/>
      <c r="T32" s="120"/>
      <c r="U32" s="15">
        <f>SUM(U33:U35)</f>
        <v>1300000</v>
      </c>
    </row>
    <row r="33" spans="2:21" ht="24.95" customHeight="1">
      <c r="B33" s="98"/>
      <c r="C33" s="120"/>
      <c r="D33" s="120"/>
      <c r="E33" s="10"/>
      <c r="F33" s="10"/>
      <c r="G33" s="10"/>
      <c r="H33" s="209"/>
      <c r="I33" s="1" t="s">
        <v>501</v>
      </c>
      <c r="J33" s="42">
        <v>40000</v>
      </c>
      <c r="K33" s="36" t="s">
        <v>16</v>
      </c>
      <c r="L33" s="36" t="s">
        <v>17</v>
      </c>
      <c r="M33" s="37">
        <v>10</v>
      </c>
      <c r="N33" s="49" t="s">
        <v>19</v>
      </c>
      <c r="O33" s="36" t="s">
        <v>17</v>
      </c>
      <c r="P33" s="37">
        <v>1</v>
      </c>
      <c r="Q33" s="49" t="s">
        <v>20</v>
      </c>
      <c r="R33" s="120"/>
      <c r="S33" s="120"/>
      <c r="T33" s="120"/>
      <c r="U33" s="15">
        <f>P33*M33*J33</f>
        <v>400000</v>
      </c>
    </row>
    <row r="34" spans="2:21" ht="24.95" customHeight="1">
      <c r="B34" s="98"/>
      <c r="C34" s="120"/>
      <c r="D34" s="120"/>
      <c r="E34" s="10"/>
      <c r="F34" s="10"/>
      <c r="G34" s="10"/>
      <c r="H34" s="209"/>
      <c r="I34" s="1" t="s">
        <v>502</v>
      </c>
      <c r="J34" s="42">
        <v>10000</v>
      </c>
      <c r="K34" s="36" t="s">
        <v>16</v>
      </c>
      <c r="L34" s="36" t="s">
        <v>17</v>
      </c>
      <c r="M34" s="37">
        <v>10</v>
      </c>
      <c r="N34" s="49" t="s">
        <v>19</v>
      </c>
      <c r="O34" s="36" t="s">
        <v>17</v>
      </c>
      <c r="P34" s="37">
        <v>1</v>
      </c>
      <c r="Q34" s="49" t="s">
        <v>20</v>
      </c>
      <c r="R34" s="120"/>
      <c r="S34" s="120"/>
      <c r="T34" s="120"/>
      <c r="U34" s="15">
        <f>M34*J34</f>
        <v>100000</v>
      </c>
    </row>
    <row r="35" spans="2:21" ht="24.95" customHeight="1">
      <c r="B35" s="98"/>
      <c r="C35" s="120"/>
      <c r="D35" s="120"/>
      <c r="E35" s="10"/>
      <c r="F35" s="10"/>
      <c r="G35" s="10"/>
      <c r="H35" s="209"/>
      <c r="I35" s="1" t="s">
        <v>503</v>
      </c>
      <c r="J35" s="42">
        <v>200000</v>
      </c>
      <c r="K35" s="36" t="s">
        <v>16</v>
      </c>
      <c r="L35" s="36" t="s">
        <v>17</v>
      </c>
      <c r="M35" s="37">
        <v>4</v>
      </c>
      <c r="N35" s="49" t="s">
        <v>224</v>
      </c>
      <c r="O35" s="36"/>
      <c r="P35" s="37"/>
      <c r="Q35" s="49"/>
      <c r="R35" s="120"/>
      <c r="S35" s="120"/>
      <c r="T35" s="120"/>
      <c r="U35" s="15">
        <f>J35*M35</f>
        <v>800000</v>
      </c>
    </row>
    <row r="36" spans="2:21" ht="24.95" customHeight="1">
      <c r="B36" s="98"/>
      <c r="C36" s="120"/>
      <c r="D36" s="120" t="s">
        <v>29</v>
      </c>
      <c r="E36" s="10">
        <v>0</v>
      </c>
      <c r="F36" s="10">
        <f>U36</f>
        <v>360000</v>
      </c>
      <c r="G36" s="10">
        <f>F36-E36</f>
        <v>360000</v>
      </c>
      <c r="H36" s="539">
        <v>0</v>
      </c>
      <c r="I36" s="14" t="s">
        <v>29</v>
      </c>
      <c r="J36" s="35"/>
      <c r="K36" s="36"/>
      <c r="L36" s="36"/>
      <c r="M36" s="37"/>
      <c r="N36" s="49"/>
      <c r="O36" s="36"/>
      <c r="P36" s="37"/>
      <c r="Q36" s="120"/>
      <c r="R36" s="120"/>
      <c r="S36" s="120"/>
      <c r="T36" s="120"/>
      <c r="U36" s="15">
        <f>SUM(U37:U37)</f>
        <v>360000</v>
      </c>
    </row>
    <row r="37" spans="2:21" ht="24.95" customHeight="1">
      <c r="B37" s="98"/>
      <c r="C37" s="120"/>
      <c r="D37" s="120"/>
      <c r="E37" s="10"/>
      <c r="F37" s="10"/>
      <c r="G37" s="10"/>
      <c r="H37" s="539"/>
      <c r="I37" s="1" t="s">
        <v>440</v>
      </c>
      <c r="J37" s="35">
        <v>30000</v>
      </c>
      <c r="K37" s="36" t="s">
        <v>16</v>
      </c>
      <c r="L37" s="36" t="s">
        <v>17</v>
      </c>
      <c r="M37" s="37">
        <v>12</v>
      </c>
      <c r="N37" s="49" t="s">
        <v>18</v>
      </c>
      <c r="O37" s="36"/>
      <c r="P37" s="37"/>
      <c r="Q37" s="120"/>
      <c r="R37" s="120"/>
      <c r="S37" s="120"/>
      <c r="T37" s="120"/>
      <c r="U37" s="15">
        <f>J37*M37</f>
        <v>360000</v>
      </c>
    </row>
    <row r="38" spans="2:21" ht="24.95" customHeight="1">
      <c r="B38" s="65"/>
      <c r="C38" s="120"/>
      <c r="D38" s="107" t="s">
        <v>398</v>
      </c>
      <c r="E38" s="10"/>
      <c r="F38" s="10">
        <f>U38</f>
        <v>4400000</v>
      </c>
      <c r="G38" s="10">
        <f>F38-E38</f>
        <v>4400000</v>
      </c>
      <c r="H38" s="539">
        <v>0</v>
      </c>
      <c r="I38" s="1" t="s">
        <v>398</v>
      </c>
      <c r="J38" s="35"/>
      <c r="K38" s="49"/>
      <c r="L38" s="36"/>
      <c r="M38" s="37"/>
      <c r="N38" s="49"/>
      <c r="O38" s="36"/>
      <c r="P38" s="37"/>
      <c r="Q38" s="120"/>
      <c r="R38" s="120"/>
      <c r="S38" s="120"/>
      <c r="T38" s="120"/>
      <c r="U38" s="15">
        <f>SUM(U39:U40)</f>
        <v>4400000</v>
      </c>
    </row>
    <row r="39" spans="2:21" ht="24.95" customHeight="1">
      <c r="B39" s="98"/>
      <c r="C39" s="120"/>
      <c r="D39" s="107"/>
      <c r="E39" s="10"/>
      <c r="F39" s="10"/>
      <c r="G39" s="10"/>
      <c r="H39" s="209"/>
      <c r="I39" s="1" t="s">
        <v>442</v>
      </c>
      <c r="J39" s="35">
        <v>500000</v>
      </c>
      <c r="K39" s="49" t="s">
        <v>16</v>
      </c>
      <c r="L39" s="36" t="s">
        <v>17</v>
      </c>
      <c r="M39" s="37">
        <v>8</v>
      </c>
      <c r="N39" s="49" t="s">
        <v>20</v>
      </c>
      <c r="O39" s="36"/>
      <c r="P39" s="37"/>
      <c r="Q39" s="120"/>
      <c r="R39" s="120"/>
      <c r="S39" s="120"/>
      <c r="T39" s="120"/>
      <c r="U39" s="15">
        <f>M39*J39</f>
        <v>4000000</v>
      </c>
    </row>
    <row r="40" spans="2:21" ht="24.95" customHeight="1">
      <c r="B40" s="98"/>
      <c r="C40" s="94"/>
      <c r="D40" s="279"/>
      <c r="E40" s="10"/>
      <c r="F40" s="10"/>
      <c r="G40" s="10"/>
      <c r="H40" s="209"/>
      <c r="I40" s="1" t="s">
        <v>443</v>
      </c>
      <c r="J40" s="35">
        <v>100000</v>
      </c>
      <c r="K40" s="49" t="s">
        <v>16</v>
      </c>
      <c r="L40" s="36" t="s">
        <v>17</v>
      </c>
      <c r="M40" s="37">
        <v>4</v>
      </c>
      <c r="N40" s="49" t="s">
        <v>20</v>
      </c>
      <c r="O40" s="36"/>
      <c r="P40" s="37"/>
      <c r="Q40" s="120"/>
      <c r="R40" s="120"/>
      <c r="S40" s="120"/>
      <c r="T40" s="120"/>
      <c r="U40" s="15">
        <f>SUM(J40*M40)</f>
        <v>400000</v>
      </c>
    </row>
    <row r="41" spans="2:21" ht="24.95" customHeight="1">
      <c r="B41" s="235" t="s">
        <v>66</v>
      </c>
      <c r="C41" s="499" t="s">
        <v>10</v>
      </c>
      <c r="D41" s="500"/>
      <c r="E41" s="501">
        <f>SUM(E42)</f>
        <v>1500000</v>
      </c>
      <c r="F41" s="501">
        <f>SUM(F42)</f>
        <v>3000000</v>
      </c>
      <c r="G41" s="501">
        <f t="shared" si="1"/>
        <v>1500000</v>
      </c>
      <c r="H41" s="502">
        <f t="shared" si="2"/>
        <v>100</v>
      </c>
      <c r="I41" s="503"/>
      <c r="J41" s="504"/>
      <c r="K41" s="237"/>
      <c r="L41" s="237"/>
      <c r="M41" s="505"/>
      <c r="N41" s="237"/>
      <c r="O41" s="237"/>
      <c r="P41" s="505"/>
      <c r="Q41" s="237"/>
      <c r="R41" s="506"/>
      <c r="S41" s="506"/>
      <c r="T41" s="506"/>
      <c r="U41" s="507">
        <f>SUM(U42)</f>
        <v>3000000</v>
      </c>
    </row>
    <row r="42" spans="2:21" ht="24.95" customHeight="1">
      <c r="B42" s="235"/>
      <c r="C42" s="506" t="s">
        <v>67</v>
      </c>
      <c r="D42" s="107" t="s">
        <v>9</v>
      </c>
      <c r="E42" s="501">
        <f>E43+E44</f>
        <v>1500000</v>
      </c>
      <c r="F42" s="501">
        <f>SUM(F43,F44)</f>
        <v>3000000</v>
      </c>
      <c r="G42" s="10">
        <f t="shared" si="1"/>
        <v>1500000</v>
      </c>
      <c r="H42" s="502">
        <f t="shared" si="2"/>
        <v>100</v>
      </c>
      <c r="I42" s="238"/>
      <c r="J42" s="504"/>
      <c r="K42" s="237"/>
      <c r="L42" s="237"/>
      <c r="M42" s="505"/>
      <c r="N42" s="237"/>
      <c r="O42" s="237"/>
      <c r="P42" s="505"/>
      <c r="Q42" s="237"/>
      <c r="R42" s="506"/>
      <c r="S42" s="506"/>
      <c r="T42" s="506"/>
      <c r="U42" s="507">
        <f>+U43+U44</f>
        <v>3000000</v>
      </c>
    </row>
    <row r="43" spans="2:21" ht="24.95" customHeight="1">
      <c r="B43" s="235"/>
      <c r="C43" s="506"/>
      <c r="D43" s="506" t="s">
        <v>68</v>
      </c>
      <c r="E43" s="501">
        <v>1000000</v>
      </c>
      <c r="F43" s="501">
        <f>U43</f>
        <v>2000000</v>
      </c>
      <c r="G43" s="10">
        <f t="shared" si="1"/>
        <v>1000000</v>
      </c>
      <c r="H43" s="502">
        <f t="shared" si="2"/>
        <v>100</v>
      </c>
      <c r="I43" s="238" t="s">
        <v>68</v>
      </c>
      <c r="J43" s="504"/>
      <c r="K43" s="237"/>
      <c r="L43" s="237"/>
      <c r="M43" s="505"/>
      <c r="N43" s="237"/>
      <c r="O43" s="237"/>
      <c r="P43" s="505"/>
      <c r="Q43" s="237"/>
      <c r="R43" s="506"/>
      <c r="S43" s="506"/>
      <c r="T43" s="506"/>
      <c r="U43" s="507">
        <v>2000000</v>
      </c>
    </row>
    <row r="44" spans="2:21" ht="24.95" customHeight="1">
      <c r="B44" s="235"/>
      <c r="C44" s="506"/>
      <c r="D44" s="506" t="s">
        <v>504</v>
      </c>
      <c r="E44" s="501">
        <v>500000</v>
      </c>
      <c r="F44" s="501">
        <f>U44</f>
        <v>1000000</v>
      </c>
      <c r="G44" s="501">
        <f t="shared" si="1"/>
        <v>500000</v>
      </c>
      <c r="H44" s="502">
        <f t="shared" si="2"/>
        <v>100</v>
      </c>
      <c r="I44" s="238" t="s">
        <v>504</v>
      </c>
      <c r="J44" s="504">
        <v>1000000</v>
      </c>
      <c r="K44" s="237" t="s">
        <v>363</v>
      </c>
      <c r="L44" s="237" t="s">
        <v>368</v>
      </c>
      <c r="M44" s="505">
        <v>1</v>
      </c>
      <c r="N44" s="237" t="s">
        <v>505</v>
      </c>
      <c r="O44" s="237"/>
      <c r="P44" s="505"/>
      <c r="Q44" s="506"/>
      <c r="R44" s="506"/>
      <c r="S44" s="506"/>
      <c r="T44" s="506"/>
      <c r="U44" s="507">
        <f>+J44*M44</f>
        <v>1000000</v>
      </c>
    </row>
    <row r="45" spans="2:21" ht="24.95" customHeight="1">
      <c r="B45" s="65" t="s">
        <v>357</v>
      </c>
      <c r="C45" s="356" t="s">
        <v>358</v>
      </c>
      <c r="D45" s="358"/>
      <c r="E45" s="10">
        <f>E46</f>
        <v>5950000</v>
      </c>
      <c r="F45" s="10">
        <f>F46</f>
        <v>11475000</v>
      </c>
      <c r="G45" s="10">
        <f>G46</f>
        <v>5525000</v>
      </c>
      <c r="H45" s="209">
        <f t="shared" si="2"/>
        <v>92.857142857142861</v>
      </c>
      <c r="I45" s="1"/>
      <c r="J45" s="35"/>
      <c r="K45" s="36"/>
      <c r="L45" s="36"/>
      <c r="M45" s="37"/>
      <c r="N45" s="36"/>
      <c r="O45" s="36"/>
      <c r="P45" s="37"/>
      <c r="Q45" s="120"/>
      <c r="R45" s="120"/>
      <c r="S45" s="120"/>
      <c r="T45" s="120"/>
      <c r="U45" s="15">
        <f>U46</f>
        <v>11475000</v>
      </c>
    </row>
    <row r="46" spans="2:21" ht="30.75" customHeight="1">
      <c r="B46" s="98"/>
      <c r="C46" s="78" t="s">
        <v>357</v>
      </c>
      <c r="D46" s="107" t="s">
        <v>506</v>
      </c>
      <c r="E46" s="10">
        <f>E47</f>
        <v>5950000</v>
      </c>
      <c r="F46" s="10">
        <f>SUM(F47:F61)</f>
        <v>11475000</v>
      </c>
      <c r="G46" s="10">
        <f>F46-E46</f>
        <v>5525000</v>
      </c>
      <c r="H46" s="209">
        <f>F46/E46*100-100</f>
        <v>92.857142857142861</v>
      </c>
      <c r="I46" s="1"/>
      <c r="J46" s="35"/>
      <c r="K46" s="36"/>
      <c r="L46" s="36"/>
      <c r="M46" s="37"/>
      <c r="N46" s="36"/>
      <c r="O46" s="36"/>
      <c r="P46" s="37"/>
      <c r="Q46" s="36"/>
      <c r="R46" s="36"/>
      <c r="S46" s="37"/>
      <c r="T46" s="36"/>
      <c r="U46" s="15">
        <f>U48+U55+U61</f>
        <v>11475000</v>
      </c>
    </row>
    <row r="47" spans="2:21" ht="24.95" customHeight="1">
      <c r="B47" s="98"/>
      <c r="C47" s="120"/>
      <c r="D47" s="120" t="s">
        <v>357</v>
      </c>
      <c r="E47" s="10">
        <v>5950000</v>
      </c>
      <c r="F47" s="10">
        <f>U47</f>
        <v>0</v>
      </c>
      <c r="G47" s="10">
        <f t="shared" si="1"/>
        <v>-5950000</v>
      </c>
      <c r="H47" s="209">
        <f t="shared" si="2"/>
        <v>-100</v>
      </c>
      <c r="I47" s="511"/>
      <c r="J47" s="35"/>
      <c r="K47" s="36"/>
      <c r="L47" s="36"/>
      <c r="M47" s="37"/>
      <c r="N47" s="36"/>
      <c r="O47" s="36"/>
      <c r="P47" s="37"/>
      <c r="Q47" s="36"/>
      <c r="R47" s="36"/>
      <c r="S47" s="37"/>
      <c r="T47" s="36"/>
      <c r="U47" s="15"/>
    </row>
    <row r="48" spans="2:21" ht="24.95" customHeight="1">
      <c r="B48" s="98"/>
      <c r="C48" s="120"/>
      <c r="D48" s="107" t="s">
        <v>507</v>
      </c>
      <c r="E48" s="10"/>
      <c r="F48" s="10">
        <f>U48</f>
        <v>4055000</v>
      </c>
      <c r="G48" s="10">
        <f t="shared" si="1"/>
        <v>4055000</v>
      </c>
      <c r="H48" s="209">
        <v>0</v>
      </c>
      <c r="I48" s="511" t="s">
        <v>508</v>
      </c>
      <c r="J48" s="35"/>
      <c r="K48" s="36"/>
      <c r="L48" s="36"/>
      <c r="M48" s="37"/>
      <c r="N48" s="36"/>
      <c r="O48" s="36"/>
      <c r="P48" s="37"/>
      <c r="Q48" s="36"/>
      <c r="R48" s="36"/>
      <c r="S48" s="37"/>
      <c r="T48" s="36"/>
      <c r="U48" s="15">
        <f>SUM(U49:U54)</f>
        <v>4055000</v>
      </c>
    </row>
    <row r="49" spans="2:21" ht="24.95" customHeight="1">
      <c r="B49" s="98"/>
      <c r="C49" s="120"/>
      <c r="D49" s="120"/>
      <c r="E49" s="10"/>
      <c r="F49" s="10"/>
      <c r="G49" s="10">
        <f t="shared" si="1"/>
        <v>0</v>
      </c>
      <c r="H49" s="209"/>
      <c r="I49" s="511" t="s">
        <v>509</v>
      </c>
      <c r="J49" s="35">
        <v>15000</v>
      </c>
      <c r="K49" s="49" t="s">
        <v>363</v>
      </c>
      <c r="L49" s="237" t="s">
        <v>368</v>
      </c>
      <c r="M49" s="37">
        <v>35</v>
      </c>
      <c r="N49" s="49" t="s">
        <v>510</v>
      </c>
      <c r="O49" s="237" t="s">
        <v>368</v>
      </c>
      <c r="P49" s="37">
        <v>1</v>
      </c>
      <c r="Q49" s="49" t="s">
        <v>369</v>
      </c>
      <c r="R49" s="36"/>
      <c r="S49" s="37"/>
      <c r="T49" s="36"/>
      <c r="U49" s="15">
        <f>J49*M49*P49</f>
        <v>525000</v>
      </c>
    </row>
    <row r="50" spans="2:21" ht="24.95" customHeight="1">
      <c r="B50" s="98"/>
      <c r="C50" s="120"/>
      <c r="D50" s="120"/>
      <c r="E50" s="10"/>
      <c r="F50" s="10"/>
      <c r="G50" s="10">
        <f t="shared" si="1"/>
        <v>0</v>
      </c>
      <c r="H50" s="209"/>
      <c r="I50" s="511" t="s">
        <v>511</v>
      </c>
      <c r="J50" s="35">
        <v>15000</v>
      </c>
      <c r="K50" s="49" t="s">
        <v>363</v>
      </c>
      <c r="L50" s="237" t="s">
        <v>368</v>
      </c>
      <c r="M50" s="37">
        <v>35</v>
      </c>
      <c r="N50" s="49" t="s">
        <v>510</v>
      </c>
      <c r="O50" s="237" t="s">
        <v>368</v>
      </c>
      <c r="P50" s="37">
        <v>2</v>
      </c>
      <c r="Q50" s="49" t="s">
        <v>369</v>
      </c>
      <c r="R50" s="120"/>
      <c r="S50" s="120"/>
      <c r="T50" s="120"/>
      <c r="U50" s="15">
        <f>P50*M50*J50</f>
        <v>1050000</v>
      </c>
    </row>
    <row r="51" spans="2:21" ht="24.95" customHeight="1">
      <c r="B51" s="98"/>
      <c r="C51" s="120"/>
      <c r="D51" s="120"/>
      <c r="E51" s="10"/>
      <c r="F51" s="10"/>
      <c r="G51" s="10">
        <f t="shared" si="1"/>
        <v>0</v>
      </c>
      <c r="H51" s="209"/>
      <c r="I51" s="511" t="s">
        <v>512</v>
      </c>
      <c r="J51" s="35">
        <v>450000</v>
      </c>
      <c r="K51" s="49" t="s">
        <v>363</v>
      </c>
      <c r="L51" s="237" t="s">
        <v>368</v>
      </c>
      <c r="M51" s="37">
        <v>1</v>
      </c>
      <c r="N51" s="49" t="s">
        <v>369</v>
      </c>
      <c r="O51" s="237"/>
      <c r="P51" s="37"/>
      <c r="Q51" s="49"/>
      <c r="R51" s="120"/>
      <c r="S51" s="120"/>
      <c r="T51" s="120"/>
      <c r="U51" s="15">
        <f>J51*M51</f>
        <v>450000</v>
      </c>
    </row>
    <row r="52" spans="2:21" ht="24.95" customHeight="1">
      <c r="B52" s="98"/>
      <c r="C52" s="120"/>
      <c r="D52" s="120"/>
      <c r="E52" s="10"/>
      <c r="F52" s="10"/>
      <c r="G52" s="10">
        <f t="shared" si="1"/>
        <v>0</v>
      </c>
      <c r="H52" s="209"/>
      <c r="I52" s="511" t="s">
        <v>513</v>
      </c>
      <c r="J52" s="35">
        <v>10000</v>
      </c>
      <c r="K52" s="49" t="s">
        <v>363</v>
      </c>
      <c r="L52" s="237" t="s">
        <v>368</v>
      </c>
      <c r="M52" s="37">
        <v>35</v>
      </c>
      <c r="N52" s="49" t="s">
        <v>510</v>
      </c>
      <c r="O52" s="237" t="s">
        <v>368</v>
      </c>
      <c r="P52" s="37">
        <v>1</v>
      </c>
      <c r="Q52" s="49" t="s">
        <v>369</v>
      </c>
      <c r="R52" s="120"/>
      <c r="S52" s="120"/>
      <c r="T52" s="120"/>
      <c r="U52" s="15">
        <f>P52*M52*J52</f>
        <v>350000</v>
      </c>
    </row>
    <row r="53" spans="2:21" ht="24.95" customHeight="1">
      <c r="B53" s="98"/>
      <c r="C53" s="120"/>
      <c r="D53" s="120"/>
      <c r="E53" s="10"/>
      <c r="F53" s="10"/>
      <c r="G53" s="10">
        <f t="shared" si="1"/>
        <v>0</v>
      </c>
      <c r="H53" s="209"/>
      <c r="I53" s="511" t="s">
        <v>514</v>
      </c>
      <c r="J53" s="35">
        <v>20000</v>
      </c>
      <c r="K53" s="49" t="s">
        <v>363</v>
      </c>
      <c r="L53" s="237" t="s">
        <v>368</v>
      </c>
      <c r="M53" s="37">
        <v>12</v>
      </c>
      <c r="N53" s="49" t="s">
        <v>510</v>
      </c>
      <c r="O53" s="237" t="s">
        <v>368</v>
      </c>
      <c r="P53" s="37">
        <v>2</v>
      </c>
      <c r="Q53" s="49" t="s">
        <v>369</v>
      </c>
      <c r="R53" s="120"/>
      <c r="S53" s="120"/>
      <c r="T53" s="120"/>
      <c r="U53" s="15">
        <f>P53*M53*J53</f>
        <v>480000</v>
      </c>
    </row>
    <row r="54" spans="2:21" ht="24.95" customHeight="1">
      <c r="B54" s="98"/>
      <c r="C54" s="120"/>
      <c r="D54" s="120"/>
      <c r="E54" s="10"/>
      <c r="F54" s="10"/>
      <c r="G54" s="10">
        <f t="shared" si="1"/>
        <v>0</v>
      </c>
      <c r="H54" s="209"/>
      <c r="I54" s="511" t="s">
        <v>515</v>
      </c>
      <c r="J54" s="35">
        <v>300000</v>
      </c>
      <c r="K54" s="49" t="s">
        <v>363</v>
      </c>
      <c r="L54" s="237" t="s">
        <v>368</v>
      </c>
      <c r="M54" s="37">
        <v>4</v>
      </c>
      <c r="N54" s="49" t="s">
        <v>516</v>
      </c>
      <c r="O54" s="36"/>
      <c r="P54" s="37"/>
      <c r="Q54" s="120"/>
      <c r="R54" s="120"/>
      <c r="S54" s="120"/>
      <c r="T54" s="120"/>
      <c r="U54" s="15">
        <f>J54*M54</f>
        <v>1200000</v>
      </c>
    </row>
    <row r="55" spans="2:21" ht="24.95" customHeight="1">
      <c r="B55" s="98"/>
      <c r="C55" s="120"/>
      <c r="D55" s="107" t="s">
        <v>517</v>
      </c>
      <c r="E55" s="10"/>
      <c r="F55" s="10">
        <f>U55</f>
        <v>5220000</v>
      </c>
      <c r="G55" s="10">
        <f t="shared" si="1"/>
        <v>5220000</v>
      </c>
      <c r="H55" s="209">
        <v>0</v>
      </c>
      <c r="I55" s="511" t="s">
        <v>518</v>
      </c>
      <c r="J55" s="35"/>
      <c r="K55" s="36"/>
      <c r="L55" s="36"/>
      <c r="M55" s="37"/>
      <c r="N55" s="36"/>
      <c r="O55" s="36"/>
      <c r="P55" s="37"/>
      <c r="Q55" s="120"/>
      <c r="R55" s="120"/>
      <c r="S55" s="120"/>
      <c r="T55" s="120"/>
      <c r="U55" s="15">
        <f>SUM(U56:U60)</f>
        <v>5220000</v>
      </c>
    </row>
    <row r="56" spans="2:21" ht="24.95" customHeight="1">
      <c r="B56" s="98"/>
      <c r="C56" s="120"/>
      <c r="D56" s="120"/>
      <c r="E56" s="10"/>
      <c r="F56" s="10"/>
      <c r="G56" s="10">
        <f t="shared" si="1"/>
        <v>0</v>
      </c>
      <c r="H56" s="209"/>
      <c r="I56" s="511" t="s">
        <v>519</v>
      </c>
      <c r="J56" s="35">
        <v>1500000</v>
      </c>
      <c r="K56" s="49" t="s">
        <v>363</v>
      </c>
      <c r="L56" s="237" t="s">
        <v>368</v>
      </c>
      <c r="M56" s="37">
        <v>1</v>
      </c>
      <c r="N56" s="49" t="s">
        <v>369</v>
      </c>
      <c r="O56" s="36"/>
      <c r="P56" s="37"/>
      <c r="Q56" s="120"/>
      <c r="R56" s="120"/>
      <c r="S56" s="120"/>
      <c r="T56" s="120"/>
      <c r="U56" s="15">
        <f>M56*J56</f>
        <v>1500000</v>
      </c>
    </row>
    <row r="57" spans="2:21" ht="24.95" customHeight="1">
      <c r="B57" s="98"/>
      <c r="C57" s="120"/>
      <c r="D57" s="120"/>
      <c r="E57" s="10"/>
      <c r="F57" s="10"/>
      <c r="G57" s="10">
        <f t="shared" si="1"/>
        <v>0</v>
      </c>
      <c r="H57" s="209"/>
      <c r="I57" s="511" t="s">
        <v>520</v>
      </c>
      <c r="J57" s="37">
        <v>80000</v>
      </c>
      <c r="K57" s="49" t="s">
        <v>363</v>
      </c>
      <c r="L57" s="237" t="s">
        <v>368</v>
      </c>
      <c r="M57" s="37">
        <v>12</v>
      </c>
      <c r="N57" s="49" t="s">
        <v>510</v>
      </c>
      <c r="O57" s="237" t="s">
        <v>368</v>
      </c>
      <c r="P57" s="37">
        <v>2</v>
      </c>
      <c r="Q57" s="49" t="s">
        <v>369</v>
      </c>
      <c r="R57" s="120"/>
      <c r="S57" s="120"/>
      <c r="T57" s="120"/>
      <c r="U57" s="15">
        <f>J57*M57*P57</f>
        <v>1920000</v>
      </c>
    </row>
    <row r="58" spans="2:21" ht="24.75" customHeight="1">
      <c r="B58" s="98"/>
      <c r="C58" s="120"/>
      <c r="D58" s="120"/>
      <c r="E58" s="10"/>
      <c r="F58" s="10"/>
      <c r="G58" s="10">
        <f t="shared" si="1"/>
        <v>0</v>
      </c>
      <c r="H58" s="209"/>
      <c r="I58" s="511" t="s">
        <v>521</v>
      </c>
      <c r="J58" s="35">
        <v>200000</v>
      </c>
      <c r="K58" s="49" t="s">
        <v>363</v>
      </c>
      <c r="L58" s="237" t="s">
        <v>368</v>
      </c>
      <c r="M58" s="37">
        <v>4</v>
      </c>
      <c r="N58" s="49" t="s">
        <v>369</v>
      </c>
      <c r="O58" s="36"/>
      <c r="P58" s="37"/>
      <c r="Q58" s="120"/>
      <c r="R58" s="120"/>
      <c r="S58" s="120"/>
      <c r="T58" s="120"/>
      <c r="U58" s="15">
        <f>M58*J58</f>
        <v>800000</v>
      </c>
    </row>
    <row r="59" spans="2:21" ht="24.75" customHeight="1">
      <c r="B59" s="98"/>
      <c r="C59" s="120"/>
      <c r="D59" s="120"/>
      <c r="E59" s="10"/>
      <c r="F59" s="10"/>
      <c r="G59" s="10"/>
      <c r="H59" s="209"/>
      <c r="I59" s="511" t="s">
        <v>522</v>
      </c>
      <c r="J59" s="35">
        <v>100000</v>
      </c>
      <c r="K59" s="49" t="s">
        <v>363</v>
      </c>
      <c r="L59" s="237" t="s">
        <v>368</v>
      </c>
      <c r="M59" s="37">
        <v>2</v>
      </c>
      <c r="N59" s="49" t="s">
        <v>369</v>
      </c>
      <c r="O59" s="36"/>
      <c r="P59" s="37"/>
      <c r="Q59" s="120"/>
      <c r="R59" s="120"/>
      <c r="S59" s="120"/>
      <c r="T59" s="120"/>
      <c r="U59" s="15">
        <f>M59*J59</f>
        <v>200000</v>
      </c>
    </row>
    <row r="60" spans="2:21" ht="24.75" customHeight="1">
      <c r="B60" s="98"/>
      <c r="C60" s="120"/>
      <c r="D60" s="120"/>
      <c r="E60" s="10"/>
      <c r="F60" s="10"/>
      <c r="G60" s="10"/>
      <c r="H60" s="209"/>
      <c r="I60" s="511" t="s">
        <v>523</v>
      </c>
      <c r="J60" s="35">
        <v>200000</v>
      </c>
      <c r="K60" s="49" t="s">
        <v>363</v>
      </c>
      <c r="L60" s="237" t="s">
        <v>368</v>
      </c>
      <c r="M60" s="37">
        <v>4</v>
      </c>
      <c r="N60" s="49" t="s">
        <v>369</v>
      </c>
      <c r="O60" s="36"/>
      <c r="P60" s="37"/>
      <c r="Q60" s="120"/>
      <c r="R60" s="120"/>
      <c r="S60" s="120"/>
      <c r="T60" s="120"/>
      <c r="U60" s="15">
        <f>M60*J60</f>
        <v>800000</v>
      </c>
    </row>
    <row r="61" spans="2:21" ht="24.75" customHeight="1">
      <c r="B61" s="98"/>
      <c r="C61" s="120"/>
      <c r="D61" s="107" t="s">
        <v>524</v>
      </c>
      <c r="E61" s="10"/>
      <c r="F61" s="10">
        <f>U61</f>
        <v>2200000</v>
      </c>
      <c r="G61" s="10">
        <f t="shared" si="1"/>
        <v>2200000</v>
      </c>
      <c r="H61" s="209">
        <v>0</v>
      </c>
      <c r="I61" s="511" t="s">
        <v>525</v>
      </c>
      <c r="J61" s="35"/>
      <c r="K61" s="36"/>
      <c r="L61" s="36"/>
      <c r="M61" s="37"/>
      <c r="N61" s="36"/>
      <c r="O61" s="36"/>
      <c r="P61" s="37"/>
      <c r="Q61" s="120"/>
      <c r="R61" s="120"/>
      <c r="S61" s="120"/>
      <c r="T61" s="120"/>
      <c r="U61" s="15">
        <f>SUM(U62:U64)</f>
        <v>2200000</v>
      </c>
    </row>
    <row r="62" spans="2:21" ht="24.75" customHeight="1">
      <c r="B62" s="98"/>
      <c r="C62" s="120"/>
      <c r="D62" s="279"/>
      <c r="E62" s="10"/>
      <c r="F62" s="10"/>
      <c r="G62" s="10"/>
      <c r="H62" s="209"/>
      <c r="I62" s="511" t="s">
        <v>526</v>
      </c>
      <c r="J62" s="35">
        <v>200000</v>
      </c>
      <c r="K62" s="49" t="s">
        <v>363</v>
      </c>
      <c r="L62" s="237" t="s">
        <v>368</v>
      </c>
      <c r="M62" s="37">
        <v>4</v>
      </c>
      <c r="N62" s="49" t="s">
        <v>369</v>
      </c>
      <c r="O62" s="36"/>
      <c r="P62" s="37"/>
      <c r="Q62" s="120"/>
      <c r="R62" s="120"/>
      <c r="S62" s="120"/>
      <c r="T62" s="120"/>
      <c r="U62" s="15">
        <f>M62*J62</f>
        <v>800000</v>
      </c>
    </row>
    <row r="63" spans="2:21" ht="24.75" customHeight="1">
      <c r="B63" s="98"/>
      <c r="C63" s="120"/>
      <c r="D63" s="279"/>
      <c r="E63" s="10"/>
      <c r="F63" s="10"/>
      <c r="G63" s="10"/>
      <c r="H63" s="209"/>
      <c r="I63" s="511" t="s">
        <v>527</v>
      </c>
      <c r="J63" s="35">
        <v>100000</v>
      </c>
      <c r="K63" s="49" t="s">
        <v>363</v>
      </c>
      <c r="L63" s="237" t="s">
        <v>368</v>
      </c>
      <c r="M63" s="37">
        <v>4</v>
      </c>
      <c r="N63" s="49" t="s">
        <v>369</v>
      </c>
      <c r="O63" s="36"/>
      <c r="P63" s="37"/>
      <c r="Q63" s="120"/>
      <c r="R63" s="120"/>
      <c r="S63" s="120"/>
      <c r="T63" s="120"/>
      <c r="U63" s="15">
        <f>M63*J63</f>
        <v>400000</v>
      </c>
    </row>
    <row r="64" spans="2:21" ht="24.75" customHeight="1">
      <c r="B64" s="98"/>
      <c r="C64" s="120"/>
      <c r="D64" s="279"/>
      <c r="E64" s="10"/>
      <c r="F64" s="10"/>
      <c r="G64" s="10"/>
      <c r="H64" s="209"/>
      <c r="I64" s="511" t="s">
        <v>528</v>
      </c>
      <c r="J64" s="35">
        <v>250000</v>
      </c>
      <c r="K64" s="49" t="s">
        <v>363</v>
      </c>
      <c r="L64" s="237" t="s">
        <v>368</v>
      </c>
      <c r="M64" s="37">
        <v>4</v>
      </c>
      <c r="N64" s="49" t="s">
        <v>369</v>
      </c>
      <c r="O64" s="36"/>
      <c r="P64" s="37"/>
      <c r="Q64" s="120"/>
      <c r="R64" s="120"/>
      <c r="S64" s="120"/>
      <c r="T64" s="120"/>
      <c r="U64" s="15">
        <f>M64*J64</f>
        <v>1000000</v>
      </c>
    </row>
    <row r="65" spans="2:22" ht="24.75" customHeight="1">
      <c r="B65" s="98" t="s">
        <v>529</v>
      </c>
      <c r="C65" s="398" t="s">
        <v>358</v>
      </c>
      <c r="D65" s="358"/>
      <c r="E65" s="10">
        <f>E66</f>
        <v>299680</v>
      </c>
      <c r="F65" s="10">
        <f>F66</f>
        <v>300000</v>
      </c>
      <c r="G65" s="10">
        <f t="shared" ref="G65:G70" si="3">F65-E65</f>
        <v>320</v>
      </c>
      <c r="H65" s="209">
        <f t="shared" ref="H65:H67" si="4">F65/E65*100-100</f>
        <v>0.10678056593700092</v>
      </c>
      <c r="I65" s="14"/>
      <c r="J65" s="35"/>
      <c r="K65" s="36"/>
      <c r="L65" s="36"/>
      <c r="M65" s="37"/>
      <c r="N65" s="36"/>
      <c r="O65" s="36"/>
      <c r="P65" s="37"/>
      <c r="Q65" s="120"/>
      <c r="R65" s="120"/>
      <c r="S65" s="120"/>
      <c r="T65" s="120"/>
      <c r="U65" s="15">
        <f>U66</f>
        <v>300000</v>
      </c>
    </row>
    <row r="66" spans="2:22" ht="24.75" customHeight="1">
      <c r="B66" s="98"/>
      <c r="C66" s="120" t="s">
        <v>529</v>
      </c>
      <c r="D66" s="120" t="s">
        <v>506</v>
      </c>
      <c r="E66" s="10">
        <f>E67</f>
        <v>299680</v>
      </c>
      <c r="F66" s="10">
        <f>SUM(F67,F72,F73)</f>
        <v>300000</v>
      </c>
      <c r="G66" s="10">
        <f t="shared" si="3"/>
        <v>320</v>
      </c>
      <c r="H66" s="209">
        <f t="shared" si="4"/>
        <v>0.10678056593700092</v>
      </c>
      <c r="I66" s="14"/>
      <c r="J66" s="35"/>
      <c r="K66" s="36"/>
      <c r="L66" s="36"/>
      <c r="M66" s="37"/>
      <c r="N66" s="36"/>
      <c r="O66" s="36"/>
      <c r="P66" s="37"/>
      <c r="Q66" s="120"/>
      <c r="R66" s="120"/>
      <c r="S66" s="120"/>
      <c r="T66" s="120"/>
      <c r="U66" s="15">
        <f>SUM(U67,U72,U73)</f>
        <v>300000</v>
      </c>
    </row>
    <row r="67" spans="2:22" ht="24.75" customHeight="1">
      <c r="B67" s="255"/>
      <c r="C67" s="490"/>
      <c r="D67" s="256" t="s">
        <v>529</v>
      </c>
      <c r="E67" s="259">
        <v>299680</v>
      </c>
      <c r="F67" s="259">
        <f>U67</f>
        <v>300000</v>
      </c>
      <c r="G67" s="259">
        <f t="shared" si="3"/>
        <v>320</v>
      </c>
      <c r="H67" s="260">
        <f t="shared" si="4"/>
        <v>0.10678056593700092</v>
      </c>
      <c r="I67" s="540" t="s">
        <v>529</v>
      </c>
      <c r="J67" s="262">
        <v>300000</v>
      </c>
      <c r="K67" s="263" t="s">
        <v>363</v>
      </c>
      <c r="L67" s="263" t="s">
        <v>368</v>
      </c>
      <c r="M67" s="265">
        <v>1</v>
      </c>
      <c r="N67" s="263" t="s">
        <v>369</v>
      </c>
      <c r="O67" s="263" t="s">
        <v>366</v>
      </c>
      <c r="P67" s="265" t="s">
        <v>366</v>
      </c>
      <c r="Q67" s="256" t="s">
        <v>366</v>
      </c>
      <c r="R67" s="256"/>
      <c r="S67" s="256"/>
      <c r="T67" s="256"/>
      <c r="U67" s="266">
        <f>J67*M67</f>
        <v>300000</v>
      </c>
    </row>
    <row r="68" spans="2:22" ht="24.75" customHeight="1">
      <c r="B68" s="65" t="s">
        <v>530</v>
      </c>
      <c r="C68" s="386" t="s">
        <v>358</v>
      </c>
      <c r="D68" s="386"/>
      <c r="E68" s="10">
        <f>E69</f>
        <v>0</v>
      </c>
      <c r="F68" s="10">
        <f>F69</f>
        <v>306290</v>
      </c>
      <c r="G68" s="10">
        <f t="shared" si="3"/>
        <v>306290</v>
      </c>
      <c r="H68" s="209">
        <v>0</v>
      </c>
      <c r="I68" s="14"/>
      <c r="J68" s="35"/>
      <c r="K68" s="36"/>
      <c r="L68" s="36"/>
      <c r="M68" s="37"/>
      <c r="N68" s="36"/>
      <c r="O68" s="36"/>
      <c r="P68" s="37"/>
      <c r="Q68" s="120"/>
      <c r="R68" s="120"/>
      <c r="S68" s="120"/>
      <c r="T68" s="120"/>
      <c r="U68" s="15">
        <f>U69</f>
        <v>306290</v>
      </c>
    </row>
    <row r="69" spans="2:22" ht="24.75" customHeight="1">
      <c r="B69" s="98"/>
      <c r="C69" s="107" t="s">
        <v>530</v>
      </c>
      <c r="D69" s="120" t="s">
        <v>506</v>
      </c>
      <c r="E69" s="10">
        <f>E70</f>
        <v>0</v>
      </c>
      <c r="F69" s="10">
        <f>SUM(F70,F75,F76)</f>
        <v>306290</v>
      </c>
      <c r="G69" s="10">
        <f t="shared" si="3"/>
        <v>306290</v>
      </c>
      <c r="H69" s="209">
        <v>0</v>
      </c>
      <c r="I69" s="14"/>
      <c r="J69" s="35"/>
      <c r="K69" s="36"/>
      <c r="L69" s="36"/>
      <c r="M69" s="37"/>
      <c r="N69" s="36"/>
      <c r="O69" s="36"/>
      <c r="P69" s="37"/>
      <c r="Q69" s="120"/>
      <c r="R69" s="120"/>
      <c r="S69" s="120"/>
      <c r="T69" s="120"/>
      <c r="U69" s="15">
        <f>SUM(U70,U75,U76)</f>
        <v>306290</v>
      </c>
    </row>
    <row r="70" spans="2:22" ht="24.75" customHeight="1" thickBot="1">
      <c r="B70" s="43"/>
      <c r="C70" s="512"/>
      <c r="D70" s="68" t="s">
        <v>530</v>
      </c>
      <c r="E70" s="44">
        <v>0</v>
      </c>
      <c r="F70" s="44">
        <f>U70</f>
        <v>306290</v>
      </c>
      <c r="G70" s="44">
        <f t="shared" si="3"/>
        <v>306290</v>
      </c>
      <c r="H70" s="210">
        <v>0</v>
      </c>
      <c r="I70" s="69" t="s">
        <v>530</v>
      </c>
      <c r="J70" s="45">
        <v>306290</v>
      </c>
      <c r="K70" s="46" t="s">
        <v>363</v>
      </c>
      <c r="L70" s="46" t="s">
        <v>368</v>
      </c>
      <c r="M70" s="47">
        <v>1</v>
      </c>
      <c r="N70" s="46" t="s">
        <v>369</v>
      </c>
      <c r="O70" s="46" t="s">
        <v>366</v>
      </c>
      <c r="P70" s="47" t="s">
        <v>366</v>
      </c>
      <c r="Q70" s="41" t="s">
        <v>366</v>
      </c>
      <c r="R70" s="41"/>
      <c r="S70" s="41"/>
      <c r="T70" s="41"/>
      <c r="U70" s="48">
        <f>J70*M70</f>
        <v>306290</v>
      </c>
      <c r="V70" s="3">
        <f>J70-1940</f>
        <v>304350</v>
      </c>
    </row>
    <row r="71" spans="2:22" ht="18" customHeight="1">
      <c r="D71" s="5"/>
      <c r="E71" s="16"/>
      <c r="F71" s="16"/>
      <c r="G71" s="16"/>
      <c r="H71" s="6"/>
    </row>
    <row r="72" spans="2:22" ht="18" customHeight="1">
      <c r="D72" s="5"/>
      <c r="E72" s="16"/>
      <c r="F72" s="16"/>
      <c r="G72" s="16"/>
      <c r="H72" s="6"/>
      <c r="I72" s="5" t="s">
        <v>371</v>
      </c>
      <c r="J72" s="31"/>
      <c r="U72" s="416"/>
    </row>
    <row r="73" spans="2:22" ht="18" customHeight="1">
      <c r="J73" s="31"/>
    </row>
    <row r="74" spans="2:22" ht="18" customHeight="1">
      <c r="F74" s="11"/>
    </row>
  </sheetData>
  <mergeCells count="13">
    <mergeCell ref="C68:D68"/>
    <mergeCell ref="I3:U4"/>
    <mergeCell ref="B5:D5"/>
    <mergeCell ref="C6:D6"/>
    <mergeCell ref="C41:D41"/>
    <mergeCell ref="C45:D45"/>
    <mergeCell ref="C65:D65"/>
    <mergeCell ref="B3:B4"/>
    <mergeCell ref="C3:C4"/>
    <mergeCell ref="D3:D4"/>
    <mergeCell ref="E3:E4"/>
    <mergeCell ref="F3:F4"/>
    <mergeCell ref="G3:H3"/>
  </mergeCells>
  <phoneticPr fontId="2" type="noConversion"/>
  <printOptions horizontalCentered="1"/>
  <pageMargins left="0.15748031496062992" right="0.15748031496062992" top="0.19685039370078741" bottom="0.27559055118110237" header="0.19685039370078741" footer="0"/>
  <pageSetup paperSize="9" scale="67" fitToHeight="0" orientation="landscape" horizontalDpi="300" verticalDpi="300" r:id="rId1"/>
  <headerFooter alignWithMargins="0"/>
  <rowBreaks count="2" manualBreakCount="2">
    <brk id="34" min="1" max="20" man="1"/>
    <brk id="64" min="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16</vt:i4>
      </vt:variant>
      <vt:variant>
        <vt:lpstr>이름이 지정된 범위</vt:lpstr>
      </vt:variant>
      <vt:variant>
        <vt:i4>20</vt:i4>
      </vt:variant>
    </vt:vector>
  </HeadingPairs>
  <TitlesOfParts>
    <vt:vector size="36" baseType="lpstr">
      <vt:lpstr>재가노인지원</vt:lpstr>
      <vt:lpstr>식사배달사업</vt:lpstr>
      <vt:lpstr>방문요양사업</vt:lpstr>
      <vt:lpstr>노인돌봄사업</vt:lpstr>
      <vt:lpstr>특별회계</vt:lpstr>
      <vt:lpstr>세입 (5)</vt:lpstr>
      <vt:lpstr>세출 (5)</vt:lpstr>
      <vt:lpstr>세입 (4)</vt:lpstr>
      <vt:lpstr>세출 (4)</vt:lpstr>
      <vt:lpstr>세입 (3)</vt:lpstr>
      <vt:lpstr>세출 (3)</vt:lpstr>
      <vt:lpstr>세입 (2)</vt:lpstr>
      <vt:lpstr>세출 (2)</vt:lpstr>
      <vt:lpstr>세입</vt:lpstr>
      <vt:lpstr>세출</vt:lpstr>
      <vt:lpstr>변경사유서</vt:lpstr>
      <vt:lpstr>노인돌봄사업!Print_Area</vt:lpstr>
      <vt:lpstr>방문요양사업!Print_Area</vt:lpstr>
      <vt:lpstr>변경사유서!Print_Area</vt:lpstr>
      <vt:lpstr>세입!Print_Area</vt:lpstr>
      <vt:lpstr>'세입 (2)'!Print_Area</vt:lpstr>
      <vt:lpstr>'세입 (3)'!Print_Area</vt:lpstr>
      <vt:lpstr>'세입 (4)'!Print_Area</vt:lpstr>
      <vt:lpstr>'세입 (5)'!Print_Area</vt:lpstr>
      <vt:lpstr>세출!Print_Area</vt:lpstr>
      <vt:lpstr>'세출 (2)'!Print_Area</vt:lpstr>
      <vt:lpstr>'세출 (3)'!Print_Area</vt:lpstr>
      <vt:lpstr>'세출 (4)'!Print_Area</vt:lpstr>
      <vt:lpstr>식사배달사업!Print_Area</vt:lpstr>
      <vt:lpstr>재가노인지원!Print_Area</vt:lpstr>
      <vt:lpstr>특별회계!Print_Area</vt:lpstr>
      <vt:lpstr>세출!Print_Titles</vt:lpstr>
      <vt:lpstr>'세출 (2)'!Print_Titles</vt:lpstr>
      <vt:lpstr>'세출 (3)'!Print_Titles</vt:lpstr>
      <vt:lpstr>'세출 (4)'!Print_Titles</vt:lpstr>
      <vt:lpstr>'세출 (5)'!Print_Titles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김성현</dc:creator>
  <cp:lastModifiedBy>PowerUser</cp:lastModifiedBy>
  <cp:lastPrinted>2015-12-10T08:02:09Z</cp:lastPrinted>
  <dcterms:created xsi:type="dcterms:W3CDTF">2008-01-12T05:11:51Z</dcterms:created>
  <dcterms:modified xsi:type="dcterms:W3CDTF">2016-01-04T07:51:53Z</dcterms:modified>
</cp:coreProperties>
</file>